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01"/>
  <workbookPr codeName="ThisWorkbook" defaultThemeVersion="166925"/>
  <mc:AlternateContent xmlns:mc="http://schemas.openxmlformats.org/markup-compatibility/2006">
    <mc:Choice Requires="x15">
      <x15ac:absPath xmlns:x15ac="http://schemas.microsoft.com/office/spreadsheetml/2010/11/ac" url="\\server1\Control Interno\SIA CONTRALORIA 202413\"/>
    </mc:Choice>
  </mc:AlternateContent>
  <bookViews>
    <workbookView xWindow="-120" yWindow="-120" windowWidth="20640" windowHeight="11310" tabRatio="720" firstSheet="3" activeTab="6"/>
  </bookViews>
  <sheets>
    <sheet name="Matriz de Riesgos" sheetId="2" r:id="rId1"/>
    <sheet name="Valoración del Control" sheetId="9" r:id="rId2"/>
    <sheet name="Evaluación-Tratamiento" sheetId="5" r:id="rId3"/>
    <sheet name="Riesgo de los procesos" sheetId="10" r:id="rId4"/>
    <sheet name="KRI (2)" sheetId="16" state="hidden" r:id="rId5"/>
    <sheet name="KRI" sheetId="8" state="hidden" r:id="rId6"/>
    <sheet name="KRI-" sheetId="17" r:id="rId7"/>
    <sheet name="Riesgos de Corrupción" sheetId="6" r:id="rId8"/>
    <sheet name="Controles de Corrupción" sheetId="12" r:id="rId9"/>
    <sheet name="Control Residuales" sheetId="14" r:id="rId10"/>
    <sheet name="Seguimiento" sheetId="11" state="hidden" r:id="rId11"/>
    <sheet name="Atributos" sheetId="4" state="hidden" r:id="rId12"/>
    <sheet name="Matriz de Calor" sheetId="7" r:id="rId13"/>
    <sheet name="Tablas" sheetId="3" state="hidden" r:id="rId14"/>
    <sheet name="Afectación" sheetId="15" state="hidden" r:id="rId15"/>
    <sheet name="Listas" sheetId="1" state="hidden" r:id="rId16"/>
    <sheet name="Lista C" sheetId="13"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xlnm._FilterDatabase" localSheetId="0" hidden="1">'Matriz de Riesgos'!$A$8:$AS$32</definedName>
    <definedName name="_xlnm.Print_Area" localSheetId="9">'Control Residuales'!$B$2:$AB$12</definedName>
    <definedName name="_xlnm.Print_Area" localSheetId="8">'Controles de Corrupción'!$B$2:$T$12</definedName>
    <definedName name="_xlnm.Print_Area" localSheetId="2">'Evaluación-Tratamiento'!$B$2:$U$31</definedName>
    <definedName name="_xlnm.Print_Area" localSheetId="5">KRI!$B$2:$K$30</definedName>
    <definedName name="_xlnm.Print_Area" localSheetId="4">'KRI (2)'!$B$2:$K$30</definedName>
    <definedName name="_xlnm.Print_Area" localSheetId="0">'Matriz de Riesgos'!$B$2:$R$30</definedName>
    <definedName name="_xlnm.Print_Area" localSheetId="3">'Riesgo de los procesos'!$B$2:$N$36</definedName>
    <definedName name="_xlnm.Print_Area" localSheetId="7">'Riesgos de Corrupción'!$B$1:$AI$12</definedName>
    <definedName name="_xlnm.Print_Area" localSheetId="1">'Valoración del Control'!$B$2:$W$31</definedName>
    <definedName name="Daños_a_Activos_Fijos_Eventos_Externos">Listas!$J$21:$J$22</definedName>
    <definedName name="Ejecución_y_Administración_de_los_Procesos">Listas!$D$21</definedName>
    <definedName name="Factores">Listas!$M$51:$N$70</definedName>
    <definedName name="Fallas_Tecnologicas">Listas!$G$21</definedName>
    <definedName name="Fraude_Externo">Listas!$E$21</definedName>
    <definedName name="Fraude_Interno">Listas!$F$21</definedName>
    <definedName name="Relaciones_Laborales">Listas!$H$21:$H$25</definedName>
    <definedName name="Usuarios_Productos_y_Practicas">Listas!$I$21:$I$25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1" i="10" l="1"/>
  <c r="L22" i="10"/>
  <c r="AA9" i="14" l="1"/>
  <c r="T16" i="5" l="1"/>
  <c r="N10" i="9" l="1"/>
  <c r="E32" i="17" l="1"/>
  <c r="D32" i="17"/>
  <c r="C32" i="17"/>
  <c r="B32" i="17"/>
  <c r="E31" i="17"/>
  <c r="D31" i="17"/>
  <c r="C31" i="17"/>
  <c r="B31" i="17"/>
  <c r="E30" i="17"/>
  <c r="D30" i="17"/>
  <c r="C30" i="17"/>
  <c r="B30" i="17"/>
  <c r="E29" i="17"/>
  <c r="D29" i="17"/>
  <c r="C29" i="17"/>
  <c r="B29" i="17"/>
  <c r="E28" i="17"/>
  <c r="D28" i="17"/>
  <c r="C28" i="17"/>
  <c r="B28" i="17"/>
  <c r="E27" i="17"/>
  <c r="D27" i="17"/>
  <c r="C27" i="17"/>
  <c r="B27" i="17"/>
  <c r="E26" i="17"/>
  <c r="D26" i="17"/>
  <c r="C26" i="17"/>
  <c r="B26" i="17"/>
  <c r="E25" i="17"/>
  <c r="D25" i="17"/>
  <c r="C25" i="17"/>
  <c r="B25" i="17"/>
  <c r="E24" i="17"/>
  <c r="D24" i="17"/>
  <c r="C24" i="17"/>
  <c r="B24" i="17"/>
  <c r="E23" i="17"/>
  <c r="D23" i="17"/>
  <c r="C23" i="17"/>
  <c r="B23" i="17"/>
  <c r="E22" i="17"/>
  <c r="D22" i="17"/>
  <c r="C22" i="17"/>
  <c r="B22" i="17"/>
  <c r="E21" i="17"/>
  <c r="D21" i="17"/>
  <c r="C21" i="17"/>
  <c r="B21" i="17"/>
  <c r="E20" i="17"/>
  <c r="D20" i="17"/>
  <c r="C20" i="17"/>
  <c r="B20" i="17"/>
  <c r="E19" i="17"/>
  <c r="D19" i="17"/>
  <c r="C19" i="17"/>
  <c r="B19" i="17"/>
  <c r="E18" i="17"/>
  <c r="D18" i="17"/>
  <c r="C18" i="17"/>
  <c r="B18" i="17"/>
  <c r="E17" i="17"/>
  <c r="D17" i="17"/>
  <c r="C17" i="17"/>
  <c r="B17" i="17"/>
  <c r="E16" i="17"/>
  <c r="D16" i="17"/>
  <c r="C16" i="17"/>
  <c r="B16" i="17"/>
  <c r="E15" i="17"/>
  <c r="D15" i="17"/>
  <c r="C15" i="17"/>
  <c r="B15" i="17"/>
  <c r="E14" i="17"/>
  <c r="D14" i="17"/>
  <c r="C14" i="17"/>
  <c r="B14" i="17"/>
  <c r="E13" i="17"/>
  <c r="D13" i="17"/>
  <c r="C13" i="17"/>
  <c r="B13" i="17"/>
  <c r="E12" i="17"/>
  <c r="D12" i="17"/>
  <c r="C12" i="17"/>
  <c r="B12" i="17"/>
  <c r="E11" i="17"/>
  <c r="D11" i="17"/>
  <c r="C11" i="17"/>
  <c r="B11" i="17"/>
  <c r="E10" i="17"/>
  <c r="D10" i="17"/>
  <c r="C10" i="17"/>
  <c r="B10" i="17"/>
  <c r="E9" i="17"/>
  <c r="D9" i="17"/>
  <c r="C9" i="17"/>
  <c r="B9" i="17"/>
  <c r="G29" i="8" l="1"/>
  <c r="J32" i="8" l="1"/>
  <c r="H32" i="8"/>
  <c r="G32" i="8"/>
  <c r="J15" i="8" l="1"/>
  <c r="J16" i="8"/>
  <c r="I21" i="8" l="1"/>
  <c r="G21" i="8"/>
  <c r="J21" i="8" l="1"/>
  <c r="J27" i="8" l="1"/>
  <c r="J26" i="8"/>
  <c r="J28" i="8" l="1"/>
  <c r="J25" i="8" l="1"/>
  <c r="J24" i="8"/>
  <c r="J23" i="8"/>
  <c r="I16" i="8" l="1"/>
  <c r="H16" i="8"/>
  <c r="G16" i="8"/>
  <c r="I15" i="8"/>
  <c r="H15" i="8"/>
  <c r="G15" i="8"/>
  <c r="J9" i="8" l="1"/>
  <c r="I9" i="8"/>
  <c r="H9" i="8"/>
  <c r="G9" i="8"/>
  <c r="J14" i="8" l="1"/>
  <c r="I14" i="8"/>
  <c r="H14" i="8"/>
  <c r="G14" i="8"/>
  <c r="J13" i="8"/>
  <c r="I13" i="8"/>
  <c r="H13" i="8"/>
  <c r="J12" i="8" l="1"/>
  <c r="I12" i="8"/>
  <c r="H12" i="8"/>
  <c r="J30" i="8" l="1"/>
  <c r="J29" i="8"/>
  <c r="AB9" i="14" l="1"/>
  <c r="Z9" i="14"/>
  <c r="I30" i="8"/>
  <c r="H30" i="8"/>
  <c r="G30" i="8"/>
  <c r="I29" i="8"/>
  <c r="H29" i="8"/>
  <c r="B9" i="8"/>
  <c r="I27" i="8" l="1"/>
  <c r="H27" i="8"/>
  <c r="I26" i="8"/>
  <c r="H26" i="8"/>
  <c r="G26" i="8"/>
  <c r="I17" i="8" l="1"/>
  <c r="H17" i="8"/>
  <c r="J17" i="8"/>
  <c r="J31" i="8" l="1"/>
  <c r="I31" i="8"/>
  <c r="H31" i="8"/>
  <c r="G31" i="8"/>
  <c r="Z12" i="14" l="1"/>
  <c r="J19" i="8"/>
  <c r="J20" i="8"/>
  <c r="J18" i="8"/>
  <c r="I11" i="8" l="1"/>
  <c r="H11" i="8"/>
  <c r="G11" i="8"/>
  <c r="J11" i="8"/>
  <c r="J10" i="8"/>
  <c r="I10" i="8"/>
  <c r="H10" i="8"/>
  <c r="G10" i="8"/>
  <c r="H21" i="8" l="1"/>
  <c r="I20" i="8" l="1"/>
  <c r="H20" i="8"/>
  <c r="G20" i="8"/>
  <c r="B11" i="8" l="1"/>
  <c r="B12" i="8"/>
  <c r="B13" i="8"/>
  <c r="B14" i="8"/>
  <c r="B15" i="8"/>
  <c r="B16" i="8"/>
  <c r="B17" i="8"/>
  <c r="B18" i="8"/>
  <c r="B19" i="8"/>
  <c r="B20" i="8"/>
  <c r="B21" i="8"/>
  <c r="B22" i="8"/>
  <c r="B23" i="8"/>
  <c r="B24" i="8"/>
  <c r="B25" i="8"/>
  <c r="B26" i="8"/>
  <c r="B27" i="8"/>
  <c r="B28" i="8"/>
  <c r="B29" i="8"/>
  <c r="B30" i="8"/>
  <c r="B31" i="8"/>
  <c r="B32" i="8"/>
  <c r="B12" i="9"/>
  <c r="B13" i="9"/>
  <c r="B14" i="9"/>
  <c r="B15" i="9"/>
  <c r="B16" i="9"/>
  <c r="B17" i="9"/>
  <c r="B18" i="9"/>
  <c r="B19" i="9"/>
  <c r="B20" i="9"/>
  <c r="B21" i="9"/>
  <c r="B22" i="9"/>
  <c r="B23" i="9"/>
  <c r="B24" i="9"/>
  <c r="B25" i="9"/>
  <c r="B26" i="9"/>
  <c r="B27" i="9"/>
  <c r="B28" i="9"/>
  <c r="B29" i="9"/>
  <c r="B30" i="9"/>
  <c r="B31" i="9"/>
  <c r="B32" i="9"/>
  <c r="B33" i="9"/>
  <c r="I32" i="8" l="1"/>
  <c r="E32" i="8" l="1"/>
  <c r="D32" i="8"/>
  <c r="C32" i="8"/>
  <c r="D33" i="5"/>
  <c r="C33" i="5"/>
  <c r="I33" i="9"/>
  <c r="D33" i="9"/>
  <c r="O32" i="2"/>
  <c r="N32" i="2"/>
  <c r="I33" i="5" s="1"/>
  <c r="H33" i="5" s="1"/>
  <c r="L32" i="2"/>
  <c r="P32" i="2" l="1"/>
  <c r="K32" i="2"/>
  <c r="Q32" i="2" l="1"/>
  <c r="G33" i="5"/>
  <c r="F33" i="5" s="1"/>
  <c r="J33" i="5" s="1"/>
  <c r="J22" i="8" l="1"/>
  <c r="I28" i="8" l="1"/>
  <c r="H28" i="8"/>
  <c r="G28" i="8"/>
  <c r="I25" i="8" l="1"/>
  <c r="H25" i="8"/>
  <c r="G25" i="8"/>
  <c r="I24" i="8"/>
  <c r="H24" i="8"/>
  <c r="G24" i="8"/>
  <c r="I23" i="8"/>
  <c r="H23" i="8"/>
  <c r="G23" i="8"/>
  <c r="Z11" i="14" l="1"/>
  <c r="I19" i="8" l="1"/>
  <c r="H19" i="8"/>
  <c r="G19" i="8"/>
  <c r="I18" i="8"/>
  <c r="H18" i="8"/>
  <c r="G18" i="8"/>
  <c r="AB11" i="14" l="1"/>
  <c r="AA11" i="14"/>
  <c r="I22" i="8"/>
  <c r="H22" i="8"/>
  <c r="G22" i="8"/>
  <c r="T17" i="5"/>
  <c r="E31" i="8" l="1"/>
  <c r="D31" i="8"/>
  <c r="C31" i="8"/>
  <c r="D32" i="5"/>
  <c r="C32" i="5"/>
  <c r="S32" i="9"/>
  <c r="N32" i="9"/>
  <c r="I32" i="9"/>
  <c r="D32" i="9"/>
  <c r="O31" i="2"/>
  <c r="N31" i="2"/>
  <c r="I32" i="5" s="1"/>
  <c r="H32" i="5" s="1"/>
  <c r="L31" i="2"/>
  <c r="P31" i="2" l="1"/>
  <c r="K31" i="2"/>
  <c r="Q31" i="2" l="1"/>
  <c r="G32" i="5"/>
  <c r="F32" i="5" s="1"/>
  <c r="J32" i="5" s="1"/>
  <c r="Q24" i="5" l="1"/>
  <c r="Q21" i="5" l="1"/>
  <c r="B10" i="14" l="1"/>
  <c r="B11" i="14"/>
  <c r="B12" i="14"/>
  <c r="M10" i="12"/>
  <c r="N10" i="12" s="1"/>
  <c r="M11" i="12"/>
  <c r="N11" i="12" s="1"/>
  <c r="M12" i="12"/>
  <c r="N12" i="12" s="1"/>
  <c r="M9" i="12"/>
  <c r="N9" i="12" s="1"/>
  <c r="B10" i="12"/>
  <c r="B11" i="12"/>
  <c r="B12" i="12"/>
  <c r="B10" i="8"/>
  <c r="B11" i="9"/>
  <c r="B10" i="9"/>
  <c r="Q9" i="12" l="1"/>
  <c r="E16" i="8"/>
  <c r="J10" i="6"/>
  <c r="J11" i="6"/>
  <c r="J12" i="6"/>
  <c r="O10" i="2"/>
  <c r="O11" i="2"/>
  <c r="O12" i="2"/>
  <c r="O13" i="2"/>
  <c r="O14" i="2"/>
  <c r="O15" i="2"/>
  <c r="O16" i="2"/>
  <c r="O17" i="2"/>
  <c r="O18" i="2"/>
  <c r="O19" i="2"/>
  <c r="O20" i="2"/>
  <c r="O21" i="2"/>
  <c r="O22" i="2"/>
  <c r="O23" i="2"/>
  <c r="O24" i="2"/>
  <c r="O25" i="2"/>
  <c r="O26" i="2"/>
  <c r="O27" i="2"/>
  <c r="O28" i="2"/>
  <c r="O29" i="2"/>
  <c r="O30" i="2"/>
  <c r="N10" i="2"/>
  <c r="N11" i="2"/>
  <c r="N12" i="2"/>
  <c r="N13" i="2"/>
  <c r="N14" i="2"/>
  <c r="N15" i="2"/>
  <c r="N16" i="2"/>
  <c r="N17" i="2"/>
  <c r="N18" i="2"/>
  <c r="N19" i="2"/>
  <c r="N20" i="2"/>
  <c r="N21" i="2"/>
  <c r="N22" i="2"/>
  <c r="N23" i="2"/>
  <c r="N24" i="2"/>
  <c r="N25" i="2"/>
  <c r="N26" i="2"/>
  <c r="N27" i="2"/>
  <c r="N28" i="2"/>
  <c r="N29" i="2"/>
  <c r="N30" i="2"/>
  <c r="N9" i="2"/>
  <c r="O9" i="2"/>
  <c r="F13" i="10" l="1"/>
  <c r="E13" i="10"/>
  <c r="D13" i="10"/>
  <c r="C13" i="10"/>
  <c r="I11" i="6" l="1"/>
  <c r="AD11" i="6"/>
  <c r="AE11" i="6" s="1"/>
  <c r="I12" i="6"/>
  <c r="AD12" i="6"/>
  <c r="AE12" i="6" s="1"/>
  <c r="E10" i="8"/>
  <c r="E11" i="8"/>
  <c r="E12" i="8"/>
  <c r="E13" i="8"/>
  <c r="E14" i="8"/>
  <c r="E15" i="8"/>
  <c r="E17" i="8"/>
  <c r="E18" i="8"/>
  <c r="E19" i="8"/>
  <c r="E20" i="8"/>
  <c r="E21" i="8"/>
  <c r="E22" i="8"/>
  <c r="E23" i="8"/>
  <c r="E24" i="8"/>
  <c r="E25" i="8"/>
  <c r="E26" i="8"/>
  <c r="E27" i="8"/>
  <c r="E28" i="8"/>
  <c r="E29" i="8"/>
  <c r="E30" i="8"/>
  <c r="E9" i="8"/>
  <c r="D10" i="8"/>
  <c r="D11" i="8"/>
  <c r="D12" i="8"/>
  <c r="D13" i="8"/>
  <c r="D14" i="8"/>
  <c r="D15" i="8"/>
  <c r="D16" i="8"/>
  <c r="D17" i="8"/>
  <c r="D18" i="8"/>
  <c r="D19" i="8"/>
  <c r="D20" i="8"/>
  <c r="D21" i="8"/>
  <c r="D22" i="8"/>
  <c r="D23" i="8"/>
  <c r="D24" i="8"/>
  <c r="D25" i="8"/>
  <c r="D26" i="8"/>
  <c r="D27" i="8"/>
  <c r="D28" i="8"/>
  <c r="D29" i="8"/>
  <c r="D30" i="8"/>
  <c r="C10" i="8"/>
  <c r="C11" i="8"/>
  <c r="C12" i="8"/>
  <c r="C13" i="8"/>
  <c r="C14" i="8"/>
  <c r="C15" i="8"/>
  <c r="C16" i="8"/>
  <c r="C17" i="8"/>
  <c r="C18" i="8"/>
  <c r="C19" i="8"/>
  <c r="C20" i="8"/>
  <c r="C21" i="8"/>
  <c r="C22" i="8"/>
  <c r="C23" i="8"/>
  <c r="C24" i="8"/>
  <c r="C25" i="8"/>
  <c r="C26" i="8"/>
  <c r="C27" i="8"/>
  <c r="C28" i="8"/>
  <c r="C29" i="8"/>
  <c r="C30" i="8"/>
  <c r="C15" i="5"/>
  <c r="D15" i="5"/>
  <c r="C16" i="5"/>
  <c r="D16" i="5"/>
  <c r="E16" i="5"/>
  <c r="C17" i="5"/>
  <c r="D17" i="5"/>
  <c r="C18" i="5"/>
  <c r="D18" i="5"/>
  <c r="C19" i="5"/>
  <c r="D19" i="5"/>
  <c r="C20" i="5"/>
  <c r="D20" i="5"/>
  <c r="C21" i="5"/>
  <c r="D21" i="5"/>
  <c r="C22" i="5"/>
  <c r="D22" i="5"/>
  <c r="C23" i="5"/>
  <c r="D23" i="5"/>
  <c r="C24" i="5"/>
  <c r="D24" i="5"/>
  <c r="C25" i="5"/>
  <c r="D25" i="5"/>
  <c r="C26" i="5"/>
  <c r="D26" i="5"/>
  <c r="C27" i="5"/>
  <c r="D27" i="5"/>
  <c r="C28" i="5"/>
  <c r="D28" i="5"/>
  <c r="C29" i="5"/>
  <c r="D29" i="5"/>
  <c r="C30" i="5"/>
  <c r="D30" i="5"/>
  <c r="C31" i="5"/>
  <c r="D31" i="5"/>
  <c r="D15" i="9"/>
  <c r="I15" i="9"/>
  <c r="N15" i="9"/>
  <c r="S15" i="9"/>
  <c r="D16" i="9"/>
  <c r="I16" i="9"/>
  <c r="S16" i="9"/>
  <c r="AC16" i="9" s="1"/>
  <c r="D17" i="9"/>
  <c r="I17" i="9"/>
  <c r="N17" i="9"/>
  <c r="S17" i="9"/>
  <c r="D18" i="9"/>
  <c r="I18" i="9"/>
  <c r="N18" i="9"/>
  <c r="S18" i="9"/>
  <c r="D19" i="9"/>
  <c r="I19" i="9"/>
  <c r="N19" i="9"/>
  <c r="S19" i="9"/>
  <c r="D20" i="9"/>
  <c r="I20" i="9"/>
  <c r="N20" i="9"/>
  <c r="S20" i="9"/>
  <c r="AC20" i="9" s="1"/>
  <c r="D21" i="9"/>
  <c r="I21" i="9"/>
  <c r="N21" i="9"/>
  <c r="S21" i="9"/>
  <c r="D22" i="9"/>
  <c r="I22" i="9"/>
  <c r="N22" i="9"/>
  <c r="S22" i="9"/>
  <c r="D23" i="9"/>
  <c r="I23" i="9"/>
  <c r="N23" i="9"/>
  <c r="S23" i="9"/>
  <c r="D24" i="9"/>
  <c r="I24" i="9"/>
  <c r="N24" i="9"/>
  <c r="S24" i="9"/>
  <c r="D25" i="9"/>
  <c r="I25" i="9"/>
  <c r="N25" i="9"/>
  <c r="S25" i="9"/>
  <c r="D26" i="9"/>
  <c r="I26" i="9"/>
  <c r="N26" i="9"/>
  <c r="S26" i="9"/>
  <c r="D27" i="9"/>
  <c r="I27" i="9"/>
  <c r="N27" i="9"/>
  <c r="S27" i="9"/>
  <c r="D28" i="9"/>
  <c r="I28" i="9"/>
  <c r="N28" i="9"/>
  <c r="S28" i="9"/>
  <c r="D29" i="9"/>
  <c r="I29" i="9"/>
  <c r="N29" i="9"/>
  <c r="S29" i="9"/>
  <c r="D30" i="9"/>
  <c r="I30" i="9"/>
  <c r="N30" i="9"/>
  <c r="S30" i="9"/>
  <c r="D31" i="9"/>
  <c r="I31" i="9"/>
  <c r="N31" i="9"/>
  <c r="S31" i="9"/>
  <c r="L14" i="2"/>
  <c r="K14" i="2" s="1"/>
  <c r="I15" i="5"/>
  <c r="H15" i="5" s="1"/>
  <c r="L15" i="2"/>
  <c r="P15" i="2" s="1"/>
  <c r="L16" i="2"/>
  <c r="K16" i="2" s="1"/>
  <c r="I17" i="5"/>
  <c r="H17" i="5" s="1"/>
  <c r="L17" i="2"/>
  <c r="I18" i="5"/>
  <c r="H18" i="5" s="1"/>
  <c r="L18" i="2"/>
  <c r="K18" i="2" s="1"/>
  <c r="I19" i="5"/>
  <c r="H19" i="5" s="1"/>
  <c r="L19" i="2"/>
  <c r="K19" i="2" s="1"/>
  <c r="L20" i="2"/>
  <c r="K20" i="2" s="1"/>
  <c r="G21" i="5" s="1"/>
  <c r="F21" i="5" s="1"/>
  <c r="I21" i="5"/>
  <c r="H21" i="5" s="1"/>
  <c r="L21" i="2"/>
  <c r="K21" i="2" s="1"/>
  <c r="I22" i="5"/>
  <c r="H22" i="5" s="1"/>
  <c r="L22" i="2"/>
  <c r="K22" i="2" s="1"/>
  <c r="G23" i="5" s="1"/>
  <c r="F23" i="5" s="1"/>
  <c r="I23" i="5"/>
  <c r="H23" i="5" s="1"/>
  <c r="L23" i="2"/>
  <c r="K23" i="2" s="1"/>
  <c r="I24" i="5"/>
  <c r="H24" i="5" s="1"/>
  <c r="L24" i="2"/>
  <c r="K24" i="2" s="1"/>
  <c r="I25" i="5"/>
  <c r="H25" i="5" s="1"/>
  <c r="L25" i="2"/>
  <c r="K25" i="2" s="1"/>
  <c r="I26" i="5"/>
  <c r="H26" i="5" s="1"/>
  <c r="L26" i="2"/>
  <c r="K26" i="2" s="1"/>
  <c r="L27" i="2"/>
  <c r="K27" i="2" s="1"/>
  <c r="I28" i="5"/>
  <c r="H28" i="5" s="1"/>
  <c r="L28" i="2"/>
  <c r="L29" i="2"/>
  <c r="K29" i="2" s="1"/>
  <c r="I30" i="5"/>
  <c r="H30" i="5" s="1"/>
  <c r="L30" i="2"/>
  <c r="K30" i="2" s="1"/>
  <c r="G31" i="5" s="1"/>
  <c r="F31" i="5" s="1"/>
  <c r="I31" i="5"/>
  <c r="H31" i="5" s="1"/>
  <c r="K15" i="2" l="1"/>
  <c r="Q15" i="2" s="1"/>
  <c r="P23" i="2"/>
  <c r="G15" i="5"/>
  <c r="F15" i="5" s="1"/>
  <c r="J15" i="5" s="1"/>
  <c r="Q16" i="2"/>
  <c r="AF11" i="6"/>
  <c r="AG11" i="6"/>
  <c r="AG12" i="6"/>
  <c r="AF12" i="6"/>
  <c r="J21" i="5"/>
  <c r="Q30" i="2"/>
  <c r="J31" i="5"/>
  <c r="Q29" i="2"/>
  <c r="P29" i="2"/>
  <c r="P28" i="2"/>
  <c r="K28" i="2"/>
  <c r="Q27" i="2"/>
  <c r="G28" i="5"/>
  <c r="F28" i="5" s="1"/>
  <c r="J28" i="5" s="1"/>
  <c r="P27" i="2"/>
  <c r="Q26" i="2"/>
  <c r="P26" i="2"/>
  <c r="Q25" i="2"/>
  <c r="G26" i="5"/>
  <c r="F26" i="5" s="1"/>
  <c r="J26" i="5" s="1"/>
  <c r="Q24" i="2"/>
  <c r="G25" i="5"/>
  <c r="F25" i="5" s="1"/>
  <c r="J25" i="5" s="1"/>
  <c r="P24" i="2"/>
  <c r="Q23" i="2"/>
  <c r="J23" i="5"/>
  <c r="Q21" i="2"/>
  <c r="P20" i="2"/>
  <c r="Q20" i="2"/>
  <c r="Q18" i="2"/>
  <c r="G19" i="5"/>
  <c r="F19" i="5" s="1"/>
  <c r="J19" i="5" s="1"/>
  <c r="P17" i="2"/>
  <c r="K17" i="2"/>
  <c r="G17" i="5"/>
  <c r="F17" i="5" s="1"/>
  <c r="J17" i="5" s="1"/>
  <c r="P14" i="2"/>
  <c r="Q14" i="2"/>
  <c r="Q19" i="2"/>
  <c r="Q22" i="2"/>
  <c r="P30" i="2"/>
  <c r="P25" i="2"/>
  <c r="P18" i="2"/>
  <c r="P16" i="2"/>
  <c r="P22" i="2"/>
  <c r="P21" i="2"/>
  <c r="P19" i="2"/>
  <c r="C9" i="14"/>
  <c r="D133" i="3"/>
  <c r="D134" i="3"/>
  <c r="D135" i="3"/>
  <c r="D136" i="3"/>
  <c r="D137" i="3"/>
  <c r="D138" i="3"/>
  <c r="D139" i="3"/>
  <c r="D140" i="3"/>
  <c r="D141" i="3"/>
  <c r="D142" i="3"/>
  <c r="D143" i="3"/>
  <c r="D144" i="3"/>
  <c r="D145" i="3"/>
  <c r="D146" i="3"/>
  <c r="D132" i="3"/>
  <c r="D115" i="3"/>
  <c r="D116" i="3"/>
  <c r="D117" i="3"/>
  <c r="D118" i="3"/>
  <c r="D119" i="3"/>
  <c r="D120" i="3"/>
  <c r="D121" i="3"/>
  <c r="D122" i="3"/>
  <c r="D123" i="3"/>
  <c r="D124" i="3"/>
  <c r="D96" i="3"/>
  <c r="D97" i="3"/>
  <c r="D98" i="3"/>
  <c r="D99" i="3"/>
  <c r="D100" i="3"/>
  <c r="D101" i="3"/>
  <c r="D102" i="3"/>
  <c r="D103" i="3"/>
  <c r="D104" i="3"/>
  <c r="D105" i="3"/>
  <c r="D106" i="3"/>
  <c r="D107" i="3"/>
  <c r="D108" i="3"/>
  <c r="D109" i="3"/>
  <c r="D110" i="3"/>
  <c r="D111" i="3"/>
  <c r="D112" i="3"/>
  <c r="D113" i="3"/>
  <c r="D114" i="3"/>
  <c r="D95" i="3"/>
  <c r="G16" i="5" l="1"/>
  <c r="F16" i="5" s="1"/>
  <c r="AH11" i="6"/>
  <c r="AH12" i="6"/>
  <c r="Q28" i="2"/>
  <c r="Q17" i="2"/>
  <c r="G18" i="5"/>
  <c r="F18" i="5" s="1"/>
  <c r="J18" i="5" s="1"/>
  <c r="J9" i="6"/>
  <c r="Q10" i="12"/>
  <c r="Q11" i="12"/>
  <c r="Q12" i="12"/>
  <c r="C10" i="14" l="1"/>
  <c r="C11" i="14"/>
  <c r="C12" i="14"/>
  <c r="B9" i="14"/>
  <c r="O10" i="12"/>
  <c r="F10" i="14" s="1"/>
  <c r="O11" i="12"/>
  <c r="F11" i="14" s="1"/>
  <c r="O12" i="12"/>
  <c r="F12" i="14" s="1"/>
  <c r="E23" i="13"/>
  <c r="E24" i="13"/>
  <c r="E25" i="13"/>
  <c r="E26" i="13"/>
  <c r="E27" i="13"/>
  <c r="E28" i="13"/>
  <c r="E29" i="13"/>
  <c r="E30" i="13"/>
  <c r="E22" i="13"/>
  <c r="O9" i="12"/>
  <c r="R9" i="12" l="1"/>
  <c r="S9" i="12" s="1"/>
  <c r="F9" i="14"/>
  <c r="G9" i="14" s="1"/>
  <c r="R12" i="12"/>
  <c r="S12" i="12" s="1"/>
  <c r="D12" i="14" s="1"/>
  <c r="R10" i="12"/>
  <c r="S10" i="12" s="1"/>
  <c r="D10" i="14" s="1"/>
  <c r="R11" i="12"/>
  <c r="S11" i="12" s="1"/>
  <c r="D11" i="14" s="1"/>
  <c r="G10" i="14" l="1"/>
  <c r="H10" i="14" s="1"/>
  <c r="I10" i="14" s="1"/>
  <c r="H9" i="14"/>
  <c r="I9" i="14" s="1"/>
  <c r="G12" i="14"/>
  <c r="H12" i="14" s="1"/>
  <c r="I12" i="14" s="1"/>
  <c r="E10" i="14"/>
  <c r="E11" i="14"/>
  <c r="E12" i="14"/>
  <c r="G11" i="14"/>
  <c r="H11" i="14" s="1"/>
  <c r="I11" i="14" s="1"/>
  <c r="T9" i="12"/>
  <c r="D9" i="14"/>
  <c r="E9" i="14" s="1"/>
  <c r="T11" i="12"/>
  <c r="T12" i="12"/>
  <c r="T10" i="12"/>
  <c r="B9" i="12"/>
  <c r="J9" i="14" l="1"/>
  <c r="K9" i="14" s="1"/>
  <c r="AD10" i="6"/>
  <c r="AD9" i="6"/>
  <c r="AE9" i="6" s="1"/>
  <c r="AG9" i="6" s="1"/>
  <c r="AH9" i="6" s="1"/>
  <c r="AF9" i="6" l="1"/>
  <c r="M9" i="14" s="1"/>
  <c r="L9" i="14"/>
  <c r="N9" i="14" s="1"/>
  <c r="O9" i="14" s="1"/>
  <c r="P9" i="14" s="1"/>
  <c r="AE10" i="6"/>
  <c r="I10" i="6"/>
  <c r="J11" i="14" l="1"/>
  <c r="K11" i="14" s="1"/>
  <c r="J12" i="14"/>
  <c r="K12" i="14" s="1"/>
  <c r="J10" i="14"/>
  <c r="K10" i="14" s="1"/>
  <c r="AG10" i="6"/>
  <c r="AH10" i="6" s="1"/>
  <c r="M11" i="14"/>
  <c r="L11" i="14"/>
  <c r="M12" i="14"/>
  <c r="L12" i="14"/>
  <c r="AF10" i="6"/>
  <c r="M10" i="14" s="1"/>
  <c r="L10" i="14"/>
  <c r="I9" i="6"/>
  <c r="L20" i="1"/>
  <c r="N11" i="14" l="1"/>
  <c r="O11" i="14" s="1"/>
  <c r="P11" i="14" s="1"/>
  <c r="N10" i="14"/>
  <c r="O10" i="14" s="1"/>
  <c r="P10" i="14" s="1"/>
  <c r="N12" i="14"/>
  <c r="O12" i="14" s="1"/>
  <c r="P12" i="14" s="1"/>
  <c r="G13" i="10" l="1"/>
  <c r="H13" i="10" s="1"/>
  <c r="C11" i="5"/>
  <c r="C12" i="5"/>
  <c r="C13" i="5"/>
  <c r="C14" i="5"/>
  <c r="C10" i="5"/>
  <c r="J13" i="10" l="1"/>
  <c r="I13" i="10"/>
  <c r="L13" i="10"/>
  <c r="K13" i="10"/>
  <c r="M13" i="10" l="1"/>
  <c r="N13" i="10" s="1"/>
  <c r="D9" i="8"/>
  <c r="N11" i="9" l="1"/>
  <c r="N12" i="9"/>
  <c r="N13" i="9"/>
  <c r="N14" i="9"/>
  <c r="D11" i="9" l="1"/>
  <c r="I11" i="9"/>
  <c r="S14" i="9" l="1"/>
  <c r="I14" i="9"/>
  <c r="D14" i="9"/>
  <c r="S13" i="9"/>
  <c r="I13" i="9"/>
  <c r="D13" i="9"/>
  <c r="S12" i="9"/>
  <c r="I12" i="9"/>
  <c r="D12" i="9"/>
  <c r="S11" i="9"/>
  <c r="I10" i="9"/>
  <c r="D10" i="9"/>
  <c r="C9" i="8" l="1"/>
  <c r="D11" i="5" l="1"/>
  <c r="D12" i="5"/>
  <c r="D13" i="5"/>
  <c r="D14" i="5"/>
  <c r="D10" i="5"/>
  <c r="L9" i="2" l="1"/>
  <c r="K9" i="2" s="1"/>
  <c r="E9" i="4"/>
  <c r="E8" i="4"/>
  <c r="E7" i="4"/>
  <c r="E6" i="4"/>
  <c r="E4" i="4"/>
  <c r="E5" i="4"/>
  <c r="B5" i="4"/>
  <c r="B6" i="4"/>
  <c r="B7" i="4"/>
  <c r="B8" i="4"/>
  <c r="B9" i="4"/>
  <c r="B4" i="4"/>
  <c r="J33" i="9" l="1"/>
  <c r="E33" i="5" s="1"/>
  <c r="J32" i="9"/>
  <c r="E32" i="5" s="1"/>
  <c r="T32" i="9"/>
  <c r="T12" i="9"/>
  <c r="T30" i="9"/>
  <c r="T19" i="9"/>
  <c r="T26" i="9"/>
  <c r="T31" i="9"/>
  <c r="J27" i="9"/>
  <c r="T17" i="9"/>
  <c r="J24" i="9"/>
  <c r="E24" i="5" s="1"/>
  <c r="T22" i="9"/>
  <c r="J18" i="9"/>
  <c r="E18" i="5" s="1"/>
  <c r="J22" i="9"/>
  <c r="E22" i="5" s="1"/>
  <c r="J20" i="9"/>
  <c r="E20" i="5" s="1"/>
  <c r="T18" i="9"/>
  <c r="J16" i="9"/>
  <c r="J15" i="9"/>
  <c r="E15" i="5" s="1"/>
  <c r="T29" i="9"/>
  <c r="T28" i="9"/>
  <c r="T27" i="9"/>
  <c r="T25" i="9"/>
  <c r="J23" i="9"/>
  <c r="E23" i="5" s="1"/>
  <c r="J19" i="9"/>
  <c r="E19" i="5" s="1"/>
  <c r="T24" i="9"/>
  <c r="T21" i="9"/>
  <c r="T20" i="9"/>
  <c r="I20" i="5" s="1"/>
  <c r="H20" i="5" s="1"/>
  <c r="T16" i="9"/>
  <c r="J21" i="9"/>
  <c r="E21" i="5" s="1"/>
  <c r="J17" i="9"/>
  <c r="E17" i="5" s="1"/>
  <c r="T15" i="9"/>
  <c r="J31" i="9"/>
  <c r="E31" i="5" s="1"/>
  <c r="J30" i="9"/>
  <c r="E30" i="5" s="1"/>
  <c r="G30" i="5" s="1"/>
  <c r="F30" i="5" s="1"/>
  <c r="J30" i="5" s="1"/>
  <c r="J29" i="9"/>
  <c r="E29" i="5" s="1"/>
  <c r="J28" i="9"/>
  <c r="E28" i="5" s="1"/>
  <c r="J26" i="9"/>
  <c r="E26" i="5" s="1"/>
  <c r="J25" i="9"/>
  <c r="E25" i="5" s="1"/>
  <c r="T23" i="9"/>
  <c r="J11" i="9"/>
  <c r="T13" i="9"/>
  <c r="T14" i="9"/>
  <c r="T11" i="9"/>
  <c r="J10" i="9"/>
  <c r="I10" i="5" s="1"/>
  <c r="H10" i="5" s="1"/>
  <c r="J12" i="9"/>
  <c r="J13" i="9"/>
  <c r="J14" i="9"/>
  <c r="Q9" i="2"/>
  <c r="L3" i="1"/>
  <c r="L4" i="1"/>
  <c r="L5" i="1"/>
  <c r="L6" i="1"/>
  <c r="L7" i="1"/>
  <c r="L8" i="1"/>
  <c r="L9" i="1"/>
  <c r="L10" i="1"/>
  <c r="L11" i="1"/>
  <c r="L12" i="1"/>
  <c r="L13" i="1"/>
  <c r="L14" i="1"/>
  <c r="L15" i="1"/>
  <c r="L16" i="1"/>
  <c r="L17" i="1"/>
  <c r="L18" i="1"/>
  <c r="L19" i="1"/>
  <c r="L21" i="1"/>
  <c r="L22" i="1"/>
  <c r="L23" i="1"/>
  <c r="L24" i="1"/>
  <c r="L25" i="1"/>
  <c r="L26" i="1"/>
  <c r="L27" i="1"/>
  <c r="I16" i="5" l="1"/>
  <c r="H16" i="5" s="1"/>
  <c r="J16" i="5" s="1"/>
  <c r="R32" i="2"/>
  <c r="K33" i="5"/>
  <c r="L33" i="5" s="1"/>
  <c r="M33" i="5" s="1"/>
  <c r="R31" i="2"/>
  <c r="K32" i="5"/>
  <c r="L32" i="5" s="1"/>
  <c r="M32" i="5" s="1"/>
  <c r="G22" i="5"/>
  <c r="F22" i="5" s="1"/>
  <c r="J22" i="5" s="1"/>
  <c r="K22" i="5" s="1"/>
  <c r="G20" i="5"/>
  <c r="F20" i="5" s="1"/>
  <c r="J20" i="5" s="1"/>
  <c r="K20" i="5" s="1"/>
  <c r="L20" i="5" s="1"/>
  <c r="M20" i="5" s="1"/>
  <c r="I29" i="5"/>
  <c r="H29" i="5" s="1"/>
  <c r="G29" i="5"/>
  <c r="F29" i="5" s="1"/>
  <c r="E10" i="5"/>
  <c r="G10" i="5" s="1"/>
  <c r="F10" i="5" s="1"/>
  <c r="J10" i="5" s="1"/>
  <c r="K10" i="5" s="1"/>
  <c r="G24" i="5"/>
  <c r="F24" i="5" s="1"/>
  <c r="J24" i="5" s="1"/>
  <c r="K24" i="5" s="1"/>
  <c r="R15" i="2"/>
  <c r="R23" i="2"/>
  <c r="R17" i="2"/>
  <c r="R24" i="2"/>
  <c r="R29" i="2"/>
  <c r="R22" i="2"/>
  <c r="R18" i="2"/>
  <c r="R25" i="2"/>
  <c r="K15" i="5"/>
  <c r="L15" i="5" s="1"/>
  <c r="M15" i="5" s="1"/>
  <c r="K17" i="5"/>
  <c r="L17" i="5" s="1"/>
  <c r="M17" i="5" s="1"/>
  <c r="K19" i="5"/>
  <c r="L19" i="5" s="1"/>
  <c r="M19" i="5" s="1"/>
  <c r="K25" i="5"/>
  <c r="L25" i="5" s="1"/>
  <c r="M25" i="5" s="1"/>
  <c r="R26" i="2"/>
  <c r="R21" i="2"/>
  <c r="R30" i="2"/>
  <c r="K16" i="5"/>
  <c r="L16" i="5" s="1"/>
  <c r="M16" i="5" s="1"/>
  <c r="K23" i="5"/>
  <c r="L23" i="5" s="1"/>
  <c r="M23" i="5" s="1"/>
  <c r="R27" i="2"/>
  <c r="R28" i="2"/>
  <c r="K31" i="5"/>
  <c r="L31" i="5" s="1"/>
  <c r="M31" i="5" s="1"/>
  <c r="R19" i="2"/>
  <c r="R16" i="2"/>
  <c r="R14" i="2"/>
  <c r="R20" i="2"/>
  <c r="K26" i="5"/>
  <c r="L26" i="5" s="1"/>
  <c r="M26" i="5" s="1"/>
  <c r="K28" i="5"/>
  <c r="L28" i="5" s="1"/>
  <c r="M28" i="5" s="1"/>
  <c r="K21" i="5"/>
  <c r="K18" i="5"/>
  <c r="L18" i="5" s="1"/>
  <c r="M18" i="5" s="1"/>
  <c r="K30" i="5"/>
  <c r="E27" i="5"/>
  <c r="G27" i="5" s="1"/>
  <c r="F27" i="5" s="1"/>
  <c r="I27" i="5"/>
  <c r="H27" i="5" s="1"/>
  <c r="P9" i="2"/>
  <c r="R9" i="2" s="1"/>
  <c r="I13" i="5"/>
  <c r="H13" i="5" s="1"/>
  <c r="I14" i="5"/>
  <c r="H14" i="5" s="1"/>
  <c r="I11" i="5"/>
  <c r="H11" i="5" s="1"/>
  <c r="I12" i="5"/>
  <c r="H12" i="5" s="1"/>
  <c r="L10" i="2"/>
  <c r="L11" i="2"/>
  <c r="L12" i="2"/>
  <c r="L13" i="2"/>
  <c r="L16" i="10" l="1"/>
  <c r="F21" i="10"/>
  <c r="D21" i="10"/>
  <c r="E21" i="10"/>
  <c r="C21" i="10"/>
  <c r="J29" i="5"/>
  <c r="K29" i="5" s="1"/>
  <c r="L29" i="5" s="1"/>
  <c r="M29" i="5" s="1"/>
  <c r="J27" i="5"/>
  <c r="K27" i="5" s="1"/>
  <c r="L27" i="5" s="1"/>
  <c r="M27" i="5" s="1"/>
  <c r="L30" i="5"/>
  <c r="M30" i="5" s="1"/>
  <c r="K16" i="10"/>
  <c r="J16" i="10"/>
  <c r="I16" i="10"/>
  <c r="L22" i="5"/>
  <c r="M22" i="5" s="1"/>
  <c r="L10" i="10"/>
  <c r="K10" i="10"/>
  <c r="J10" i="10"/>
  <c r="I10" i="10"/>
  <c r="F9" i="10"/>
  <c r="E9" i="10"/>
  <c r="D9" i="10"/>
  <c r="C9" i="10"/>
  <c r="L14" i="10"/>
  <c r="K14" i="10"/>
  <c r="J14" i="10"/>
  <c r="I14" i="10"/>
  <c r="F10" i="10"/>
  <c r="E10" i="10"/>
  <c r="D10" i="10"/>
  <c r="C10" i="10"/>
  <c r="F16" i="10"/>
  <c r="E16" i="10"/>
  <c r="D16" i="10"/>
  <c r="C16" i="10"/>
  <c r="F22" i="10"/>
  <c r="E22" i="10"/>
  <c r="D22" i="10"/>
  <c r="C22" i="10"/>
  <c r="L24" i="5"/>
  <c r="M24" i="5" s="1"/>
  <c r="K22" i="10"/>
  <c r="J22" i="10"/>
  <c r="I22" i="10"/>
  <c r="L21" i="5"/>
  <c r="M21" i="5" s="1"/>
  <c r="J9" i="10"/>
  <c r="I9" i="10"/>
  <c r="L9" i="10"/>
  <c r="K9" i="10"/>
  <c r="F8" i="10"/>
  <c r="C8" i="10"/>
  <c r="D8" i="10"/>
  <c r="E8" i="10"/>
  <c r="L12" i="10"/>
  <c r="K12" i="10"/>
  <c r="J12" i="10"/>
  <c r="I12" i="10"/>
  <c r="F12" i="10"/>
  <c r="E12" i="10"/>
  <c r="D12" i="10"/>
  <c r="C12" i="10"/>
  <c r="K20" i="10"/>
  <c r="J20" i="10"/>
  <c r="I20" i="10"/>
  <c r="F20" i="10"/>
  <c r="E20" i="10"/>
  <c r="D20" i="10"/>
  <c r="C20" i="10"/>
  <c r="F14" i="10"/>
  <c r="E14" i="10"/>
  <c r="D14" i="10"/>
  <c r="C14" i="10"/>
  <c r="F15" i="10"/>
  <c r="E15" i="10"/>
  <c r="D15" i="10"/>
  <c r="C15" i="10"/>
  <c r="L10" i="5"/>
  <c r="M10" i="5" s="1"/>
  <c r="K10" i="2"/>
  <c r="P10" i="2"/>
  <c r="R10" i="2" s="1"/>
  <c r="K13" i="2"/>
  <c r="P13" i="2"/>
  <c r="R13" i="2" s="1"/>
  <c r="K12" i="2"/>
  <c r="P12" i="2"/>
  <c r="R12" i="2" s="1"/>
  <c r="K11" i="2"/>
  <c r="Q11" i="2" s="1"/>
  <c r="P11" i="2"/>
  <c r="R11" i="2" s="1"/>
  <c r="E19" i="10"/>
  <c r="L8" i="10" l="1"/>
  <c r="J15" i="10"/>
  <c r="J8" i="10"/>
  <c r="K8" i="10"/>
  <c r="I8" i="10"/>
  <c r="L15" i="10"/>
  <c r="K15" i="10"/>
  <c r="I15" i="10"/>
  <c r="G16" i="10"/>
  <c r="H16" i="10" s="1"/>
  <c r="G10" i="10"/>
  <c r="H10" i="10" s="1"/>
  <c r="M16" i="10"/>
  <c r="N16" i="10" s="1"/>
  <c r="F11" i="10"/>
  <c r="E11" i="10"/>
  <c r="D11" i="10"/>
  <c r="C11" i="10"/>
  <c r="D19" i="10"/>
  <c r="F19" i="10"/>
  <c r="J21" i="10"/>
  <c r="F17" i="10"/>
  <c r="E17" i="10"/>
  <c r="D17" i="10"/>
  <c r="C17" i="10"/>
  <c r="F18" i="10"/>
  <c r="E18" i="10"/>
  <c r="D18" i="10"/>
  <c r="C18" i="10"/>
  <c r="C19" i="10"/>
  <c r="K21" i="10"/>
  <c r="I21" i="10"/>
  <c r="G9" i="10"/>
  <c r="H9" i="10" s="1"/>
  <c r="G12" i="5"/>
  <c r="F12" i="5" s="1"/>
  <c r="E12" i="5"/>
  <c r="G13" i="5"/>
  <c r="F13" i="5" s="1"/>
  <c r="E13" i="5"/>
  <c r="G14" i="5"/>
  <c r="F14" i="5" s="1"/>
  <c r="E14" i="5"/>
  <c r="E11" i="5"/>
  <c r="G11" i="5" s="1"/>
  <c r="F11" i="5" s="1"/>
  <c r="M9" i="10"/>
  <c r="Q12" i="2"/>
  <c r="Q13" i="2"/>
  <c r="Q10" i="2"/>
  <c r="G17" i="10" l="1"/>
  <c r="H17" i="10" s="1"/>
  <c r="G19" i="10"/>
  <c r="H19" i="10" s="1"/>
  <c r="G11" i="10"/>
  <c r="H11" i="10" s="1"/>
  <c r="G8" i="10"/>
  <c r="H8" i="10" s="1"/>
  <c r="E23" i="10"/>
  <c r="G20" i="10"/>
  <c r="H20" i="10" s="1"/>
  <c r="G14" i="10"/>
  <c r="H14" i="10" s="1"/>
  <c r="G12" i="10"/>
  <c r="H12" i="10" s="1"/>
  <c r="G18" i="10"/>
  <c r="H18" i="10" s="1"/>
  <c r="F23" i="10"/>
  <c r="D23" i="10"/>
  <c r="G15" i="10"/>
  <c r="H15" i="10" s="1"/>
  <c r="G22" i="10"/>
  <c r="H22" i="10" s="1"/>
  <c r="C23" i="10"/>
  <c r="G21" i="10"/>
  <c r="N9" i="10"/>
  <c r="J14" i="5"/>
  <c r="K14" i="5" s="1"/>
  <c r="J13" i="5"/>
  <c r="K13" i="5" s="1"/>
  <c r="J12" i="5"/>
  <c r="K12" i="5" s="1"/>
  <c r="J11" i="5"/>
  <c r="K11" i="5" s="1"/>
  <c r="J19" i="10" l="1"/>
  <c r="I19" i="10"/>
  <c r="K19" i="10"/>
  <c r="J17" i="10"/>
  <c r="I17" i="10"/>
  <c r="L17" i="10"/>
  <c r="K17" i="10"/>
  <c r="L18" i="10"/>
  <c r="K18" i="10"/>
  <c r="J18" i="10"/>
  <c r="I18" i="10"/>
  <c r="L11" i="5"/>
  <c r="M11" i="5" s="1"/>
  <c r="L14" i="5"/>
  <c r="M14" i="5" s="1"/>
  <c r="L12" i="5"/>
  <c r="M12" i="5" s="1"/>
  <c r="L13" i="5"/>
  <c r="M13" i="5" s="1"/>
  <c r="H21" i="10"/>
  <c r="G23" i="10"/>
  <c r="H23" i="10" s="1"/>
  <c r="J11" i="10"/>
  <c r="K11" i="10" l="1"/>
  <c r="I11" i="10"/>
  <c r="I23" i="10" s="1"/>
  <c r="L11" i="10"/>
  <c r="M17" i="10"/>
  <c r="N17" i="10" s="1"/>
  <c r="M19" i="10"/>
  <c r="N19" i="10" s="1"/>
  <c r="M14" i="10"/>
  <c r="N14" i="10" s="1"/>
  <c r="M18" i="10"/>
  <c r="N18" i="10" s="1"/>
  <c r="M10" i="10"/>
  <c r="N10" i="10" s="1"/>
  <c r="M20" i="10"/>
  <c r="N20" i="10" s="1"/>
  <c r="M8" i="10"/>
  <c r="N8" i="10" s="1"/>
  <c r="M15" i="10"/>
  <c r="N15" i="10" s="1"/>
  <c r="M22" i="10"/>
  <c r="N22" i="10" s="1"/>
  <c r="M21" i="10"/>
  <c r="J23" i="10" l="1"/>
  <c r="L23" i="10"/>
  <c r="M11" i="10"/>
  <c r="N11" i="10" s="1"/>
  <c r="K23" i="10"/>
  <c r="M12" i="10"/>
  <c r="N12" i="10" s="1"/>
  <c r="N21" i="10"/>
  <c r="M23" i="10" l="1"/>
  <c r="N23" i="10" s="1"/>
</calcChain>
</file>

<file path=xl/comments1.xml><?xml version="1.0" encoding="utf-8"?>
<comments xmlns="http://schemas.openxmlformats.org/spreadsheetml/2006/main">
  <authors>
    <author>Oficina Asesora de Planeación</author>
  </authors>
  <commentList>
    <comment ref="J8" authorId="0" shapeId="0">
      <text>
        <r>
          <rPr>
            <b/>
            <sz val="13"/>
            <color indexed="81"/>
            <rFont val="Tahoma"/>
            <family val="2"/>
          </rPr>
          <t>Oficina Asesora de Planeación:</t>
        </r>
        <r>
          <rPr>
            <sz val="13"/>
            <color indexed="81"/>
            <rFont val="Tahoma"/>
            <family val="2"/>
          </rPr>
          <t xml:space="preserve">
 Frecuencia de La actividad (número de veces que puede ocurrir en el año)</t>
        </r>
      </text>
    </comment>
  </commentList>
</comments>
</file>

<file path=xl/comments2.xml><?xml version="1.0" encoding="utf-8"?>
<comments xmlns="http://schemas.openxmlformats.org/spreadsheetml/2006/main">
  <authors>
    <author>Planeacion2</author>
  </authors>
  <commentList>
    <comment ref="G17" authorId="0" shapeId="0">
      <text>
        <r>
          <rPr>
            <b/>
            <sz val="9"/>
            <color indexed="81"/>
            <rFont val="Tahoma"/>
            <family val="2"/>
          </rPr>
          <t>Planeacion2:</t>
        </r>
        <r>
          <rPr>
            <sz val="9"/>
            <color indexed="81"/>
            <rFont val="Tahoma"/>
            <family val="2"/>
          </rPr>
          <t xml:space="preserve">
No se han presentado soliciudes</t>
        </r>
      </text>
    </comment>
    <comment ref="G21" authorId="0" shapeId="0">
      <text>
        <r>
          <rPr>
            <b/>
            <sz val="9"/>
            <color indexed="81"/>
            <rFont val="Tahoma"/>
            <family val="2"/>
          </rPr>
          <t>Planeacion2:</t>
        </r>
        <r>
          <rPr>
            <sz val="9"/>
            <color indexed="81"/>
            <rFont val="Tahoma"/>
            <family val="2"/>
          </rPr>
          <t xml:space="preserve">
Seguimiento semestral</t>
        </r>
      </text>
    </comment>
  </commentList>
</comments>
</file>

<file path=xl/comments3.xml><?xml version="1.0" encoding="utf-8"?>
<comments xmlns="http://schemas.openxmlformats.org/spreadsheetml/2006/main">
  <authors>
    <author>Planeacion2</author>
  </authors>
  <commentList>
    <comment ref="G17" authorId="0" shapeId="0">
      <text>
        <r>
          <rPr>
            <b/>
            <sz val="9"/>
            <color indexed="81"/>
            <rFont val="Tahoma"/>
            <family val="2"/>
          </rPr>
          <t>Planeacion2:</t>
        </r>
        <r>
          <rPr>
            <sz val="9"/>
            <color indexed="81"/>
            <rFont val="Tahoma"/>
            <family val="2"/>
          </rPr>
          <t xml:space="preserve">
No se han presentado soliciudes</t>
        </r>
      </text>
    </comment>
    <comment ref="G21" authorId="0" shapeId="0">
      <text>
        <r>
          <rPr>
            <b/>
            <sz val="9"/>
            <color indexed="81"/>
            <rFont val="Tahoma"/>
            <family val="2"/>
          </rPr>
          <t>Planeacion2:</t>
        </r>
        <r>
          <rPr>
            <sz val="9"/>
            <color indexed="81"/>
            <rFont val="Tahoma"/>
            <family val="2"/>
          </rPr>
          <t xml:space="preserve">
Seguimiento semestral</t>
        </r>
      </text>
    </comment>
  </commentList>
</comments>
</file>

<file path=xl/comments4.xml><?xml version="1.0" encoding="utf-8"?>
<comments xmlns="http://schemas.openxmlformats.org/spreadsheetml/2006/main">
  <authors>
    <author>Planeacion2</author>
  </authors>
  <commentList>
    <comment ref="G17" authorId="0" shapeId="0">
      <text>
        <r>
          <rPr>
            <b/>
            <sz val="9"/>
            <color indexed="81"/>
            <rFont val="Tahoma"/>
            <family val="2"/>
          </rPr>
          <t>Planeacion2:</t>
        </r>
        <r>
          <rPr>
            <sz val="9"/>
            <color indexed="81"/>
            <rFont val="Tahoma"/>
            <family val="2"/>
          </rPr>
          <t xml:space="preserve">
No se han presentado soliciudes</t>
        </r>
      </text>
    </comment>
    <comment ref="G21" authorId="0" shapeId="0">
      <text>
        <r>
          <rPr>
            <b/>
            <sz val="9"/>
            <color indexed="81"/>
            <rFont val="Tahoma"/>
            <family val="2"/>
          </rPr>
          <t>Planeacion2:</t>
        </r>
        <r>
          <rPr>
            <sz val="9"/>
            <color indexed="81"/>
            <rFont val="Tahoma"/>
            <family val="2"/>
          </rPr>
          <t xml:space="preserve">
Seguimiento semestral</t>
        </r>
      </text>
    </comment>
  </commentList>
</comments>
</file>

<file path=xl/sharedStrings.xml><?xml version="1.0" encoding="utf-8"?>
<sst xmlns="http://schemas.openxmlformats.org/spreadsheetml/2006/main" count="2054" uniqueCount="674">
  <si>
    <t>Impacto</t>
  </si>
  <si>
    <t>Causa  Inmediata</t>
  </si>
  <si>
    <t>Causa Raiz</t>
  </si>
  <si>
    <t>Descripción del Riesgo</t>
  </si>
  <si>
    <t>Clasificación del Riesgo</t>
  </si>
  <si>
    <t>Frecuencia</t>
  </si>
  <si>
    <t>Probabilidad Inherente</t>
  </si>
  <si>
    <t>%</t>
  </si>
  <si>
    <t>Impacto Inherente</t>
  </si>
  <si>
    <t>Zona de Riesgo Inherente</t>
  </si>
  <si>
    <t>No.</t>
  </si>
  <si>
    <t>Procesos</t>
  </si>
  <si>
    <t>Planificación Institucional</t>
  </si>
  <si>
    <t>Mejoramiento Continuo</t>
  </si>
  <si>
    <t>Atención al Ciudadano y Comunicaciones</t>
  </si>
  <si>
    <t>Gestión Inmobiliaria</t>
  </si>
  <si>
    <t>Habitabilidad</t>
  </si>
  <si>
    <t>Espacio Público</t>
  </si>
  <si>
    <t>Gestión Social</t>
  </si>
  <si>
    <t>Gestión Jurídica</t>
  </si>
  <si>
    <t>Contratación</t>
  </si>
  <si>
    <t>Gestión Humana</t>
  </si>
  <si>
    <t>Gestión TICS</t>
  </si>
  <si>
    <t>Gestión Documental</t>
  </si>
  <si>
    <t>Gestión Financiera</t>
  </si>
  <si>
    <t>Evaluación Independiente</t>
  </si>
  <si>
    <t>Fraude Externo</t>
  </si>
  <si>
    <t>Fraude Interno</t>
  </si>
  <si>
    <t>Fallas Tecnologicas</t>
  </si>
  <si>
    <t>Relaciones laborales</t>
  </si>
  <si>
    <t>Usuarios, Productos y Practicas</t>
  </si>
  <si>
    <t>Daños a Activos Fijos/ Eventos Externos</t>
  </si>
  <si>
    <t>Clasifiación del Riesgo</t>
  </si>
  <si>
    <t>Frecuencia de la Actividad</t>
  </si>
  <si>
    <t>Muy Baja</t>
  </si>
  <si>
    <t>Baja</t>
  </si>
  <si>
    <t>Media</t>
  </si>
  <si>
    <t>Alta</t>
  </si>
  <si>
    <t>Muy Alta</t>
  </si>
  <si>
    <t>Leve</t>
  </si>
  <si>
    <t>Menor</t>
  </si>
  <si>
    <t>Moderado</t>
  </si>
  <si>
    <t>Mayor</t>
  </si>
  <si>
    <t>Catastrofico</t>
  </si>
  <si>
    <t>Menor a 10 SMLMV</t>
  </si>
  <si>
    <t>Entre 10  y 50 SMLMV</t>
  </si>
  <si>
    <t>Entre 50  y 100 SMLMV</t>
  </si>
  <si>
    <t>Entre 100 y 500 SMLMV</t>
  </si>
  <si>
    <t>Mayor a 500 SMLMV</t>
  </si>
  <si>
    <t>Proceso / Dependencia</t>
  </si>
  <si>
    <t>Probabilidad</t>
  </si>
  <si>
    <t>Afectación Económica</t>
  </si>
  <si>
    <t>Afectación Reputacional</t>
  </si>
  <si>
    <t>Alto</t>
  </si>
  <si>
    <t>Bajo</t>
  </si>
  <si>
    <t>Zona</t>
  </si>
  <si>
    <t>Concatenar</t>
  </si>
  <si>
    <t>Auxiliar</t>
  </si>
  <si>
    <t>Extremo</t>
  </si>
  <si>
    <t>Analisis del Riesgo</t>
  </si>
  <si>
    <t>No. Control</t>
  </si>
  <si>
    <t>Tipo</t>
  </si>
  <si>
    <t>Implementación</t>
  </si>
  <si>
    <t>Calificación</t>
  </si>
  <si>
    <t>Evidencia</t>
  </si>
  <si>
    <t>Cantidad de controles</t>
  </si>
  <si>
    <t>Atributos de Eficiencia</t>
  </si>
  <si>
    <t>Atributos de Informativos</t>
  </si>
  <si>
    <t>Valoración de Riesgo</t>
  </si>
  <si>
    <t>Documentación</t>
  </si>
  <si>
    <t>Documentacion</t>
  </si>
  <si>
    <t>Evidenacia</t>
  </si>
  <si>
    <t>Control Preventivo</t>
  </si>
  <si>
    <t>Control Detectivo</t>
  </si>
  <si>
    <t>Control Correctivo</t>
  </si>
  <si>
    <t>Si</t>
  </si>
  <si>
    <t>No</t>
  </si>
  <si>
    <t>Continua</t>
  </si>
  <si>
    <t>Aleatoria</t>
  </si>
  <si>
    <t>Sin Registro</t>
  </si>
  <si>
    <t>Con Registro</t>
  </si>
  <si>
    <t>Zona de Riesgo</t>
  </si>
  <si>
    <t>Tratamiento</t>
  </si>
  <si>
    <t>Afectación</t>
  </si>
  <si>
    <t>Automatico</t>
  </si>
  <si>
    <t>Manual</t>
  </si>
  <si>
    <t>Automático</t>
  </si>
  <si>
    <t>PESO</t>
  </si>
  <si>
    <t>Despcripción del Control</t>
  </si>
  <si>
    <t>Probabilidad control 1</t>
  </si>
  <si>
    <t>Probabilidad Residual Final</t>
  </si>
  <si>
    <t>Observaciones</t>
  </si>
  <si>
    <t>Catastrófico</t>
  </si>
  <si>
    <t xml:space="preserve">                   </t>
  </si>
  <si>
    <t>Evaluación</t>
  </si>
  <si>
    <t>Riesgo</t>
  </si>
  <si>
    <t>No. Riesgo</t>
  </si>
  <si>
    <t>R1</t>
  </si>
  <si>
    <t>R2</t>
  </si>
  <si>
    <t>R3</t>
  </si>
  <si>
    <t>R4</t>
  </si>
  <si>
    <t>R5</t>
  </si>
  <si>
    <t>R6</t>
  </si>
  <si>
    <t>R7</t>
  </si>
  <si>
    <t>R8</t>
  </si>
  <si>
    <t>R9</t>
  </si>
  <si>
    <t>R10</t>
  </si>
  <si>
    <t>R11</t>
  </si>
  <si>
    <t>↑</t>
  </si>
  <si>
    <t>Evitar</t>
  </si>
  <si>
    <t>NO asumir la actividad que genera este Riesgo</t>
  </si>
  <si>
    <t>Reducir</t>
  </si>
  <si>
    <t>Aceptar</t>
  </si>
  <si>
    <t>Tratarlo mediante la transferencia o mitigación</t>
  </si>
  <si>
    <t>Alto
Moderado</t>
  </si>
  <si>
    <t>Asumir el riesgo conociendo los efectos de su posible materialización</t>
  </si>
  <si>
    <t>ZONA DE RIESGO</t>
  </si>
  <si>
    <t>Responsable</t>
  </si>
  <si>
    <t>Fecha Implementación</t>
  </si>
  <si>
    <t>Seguimiento</t>
  </si>
  <si>
    <t>Estado</t>
  </si>
  <si>
    <t>PLAN DE ACCIÓN</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</si>
  <si>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</si>
  <si>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</si>
  <si>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</si>
  <si>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</si>
  <si>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</si>
  <si>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Tabla de valores para: PROBABILIDAD</t>
  </si>
  <si>
    <t>El riesgo afecta la imagen de alguna área de la organización</t>
  </si>
  <si>
    <t>El riesgo afecta la imagen de la entidad internamente, de conocimiento general, nivel interno, de junta dircetiva y accionistas y/o de provedores</t>
  </si>
  <si>
    <t>El riesgo afecta la imagen de la entidad con algunos usuarios de relevancia frente al logro de los objetivos</t>
  </si>
  <si>
    <t>El riesgo afecta la imagen de de la entidad con efecto publicitario sostenido a nivel de sector administrativo, nivel departamental o municipal</t>
  </si>
  <si>
    <t>El riesgo afecta la imagen de la entidad a nivel nacional, con efecto publicitarios sostenible a nivel país</t>
  </si>
  <si>
    <t>Tabla de valores para: IMPACTO</t>
  </si>
  <si>
    <t>Impacto Residual</t>
  </si>
  <si>
    <t>ATRIBUTOS</t>
  </si>
  <si>
    <t>Indicador</t>
  </si>
  <si>
    <t>Causas</t>
  </si>
  <si>
    <t xml:space="preserve"> </t>
  </si>
  <si>
    <t>Finalizado</t>
  </si>
  <si>
    <t>En curso</t>
  </si>
  <si>
    <t xml:space="preserve">MAPA DE CALOR </t>
  </si>
  <si>
    <t>Afectación Económica y Reputacional</t>
  </si>
  <si>
    <t>Ejecución y Administración de los Procesos</t>
  </si>
  <si>
    <t>Factor del Riesgo</t>
  </si>
  <si>
    <t>Evento Externo</t>
  </si>
  <si>
    <t>Talento Humano</t>
  </si>
  <si>
    <t>Tecnologia</t>
  </si>
  <si>
    <t xml:space="preserve">Infraestructura </t>
  </si>
  <si>
    <t>Ninguna</t>
  </si>
  <si>
    <t>Impacto y Probabilidad</t>
  </si>
  <si>
    <t>Código</t>
  </si>
  <si>
    <t xml:space="preserve">Versión </t>
  </si>
  <si>
    <t>Fecha:</t>
  </si>
  <si>
    <t>RIESGO INHERENTE DEL PROCESO</t>
  </si>
  <si>
    <t>RIESGO RESIDUAL DEL PROCESO</t>
  </si>
  <si>
    <t>RIESGO INHERENTE Y RESIDUAL DEL PROCESO</t>
  </si>
  <si>
    <t>3. Si en la sumatoria de los riesgos Extremos, altos y moderados representan mas o igual al  40% de los Riesgos Calificados, y menos del 30% de los Riesgos Extremos y Altos, y Menos del 20% de los Riesgos Extremos, la calificación del Proceso será MODERADO.</t>
  </si>
  <si>
    <t>Proceso</t>
  </si>
  <si>
    <t>Riesgos Extremos</t>
  </si>
  <si>
    <t>Riesgos Altos</t>
  </si>
  <si>
    <t>Riesgos Moderados</t>
  </si>
  <si>
    <t>Riesgos Bajos</t>
  </si>
  <si>
    <t xml:space="preserve">Total Riesgos </t>
  </si>
  <si>
    <t>Total</t>
  </si>
  <si>
    <t>NIVELES DE RIESGO</t>
  </si>
  <si>
    <t>Riesgo Inherente</t>
  </si>
  <si>
    <t>Riesgo Residual</t>
  </si>
  <si>
    <t>2. Si en la sumatoria de los riesgos Externos y altos representan mas o igual al 30% de los Riesgos Calificados, y menos del 20% de los Riesgos Extremos la calificación del Proceso será ALTO.</t>
  </si>
  <si>
    <t>Gestión de Recursos Físicos</t>
  </si>
  <si>
    <r>
      <rPr>
        <b/>
        <sz val="12"/>
        <color theme="1"/>
        <rFont val="Arial Narrow"/>
        <family val="2"/>
      </rPr>
      <t>Explicaciones Para realizar la ponderación de Riesgos.</t>
    </r>
    <r>
      <rPr>
        <sz val="12"/>
        <color theme="1"/>
        <rFont val="Arial Narrow"/>
        <family val="2"/>
      </rPr>
      <t xml:space="preserve">
1. Si en la sumatoria de los riesgos los Extremos representan mas o igual al 20% de los Riesgos, la calificación del Proceso será EXTREMO.</t>
    </r>
  </si>
  <si>
    <r>
      <t xml:space="preserve">4. Si en la sumatoria de los riesgos Extremos, altos,  moderados y bajos representan mas o igual al  50% de los Riesgos Calificados, y menos del 40% de los riesgos Extremos, altos y moderados, y menos del 30% de los riesgos calificados en Extremos y Altos, y menos del 20% de los riesgos Extremos, la calificación del proceso será BAJO.
</t>
    </r>
    <r>
      <rPr>
        <b/>
        <sz val="12"/>
        <color theme="1"/>
        <rFont val="Arial Narrow"/>
        <family val="2"/>
      </rPr>
      <t xml:space="preserve">Nota: </t>
    </r>
    <r>
      <rPr>
        <sz val="12"/>
        <color theme="1"/>
        <rFont val="Arial Narrow"/>
        <family val="2"/>
      </rPr>
      <t>Adaptado de Instituto de Auditores Internos</t>
    </r>
    <r>
      <rPr>
        <b/>
        <sz val="12"/>
        <color theme="1"/>
        <rFont val="Arial Narrow"/>
        <family val="2"/>
      </rPr>
      <t xml:space="preserve"> COSO ERM </t>
    </r>
    <r>
      <rPr>
        <sz val="12"/>
        <color theme="1"/>
        <rFont val="Arial Narrow"/>
        <family val="2"/>
      </rPr>
      <t>Agosto 2014</t>
    </r>
  </si>
  <si>
    <t>Acciones de Mejora</t>
  </si>
  <si>
    <t>Factores de Riesgo</t>
  </si>
  <si>
    <t>Tecnología</t>
  </si>
  <si>
    <t>Infraestructura</t>
  </si>
  <si>
    <t>Clasificación</t>
  </si>
  <si>
    <t>|</t>
  </si>
  <si>
    <t>Ejecución_y_Administración_de_los_Procesos</t>
  </si>
  <si>
    <t>Fraude_Externo</t>
  </si>
  <si>
    <t>Fraude_Interno</t>
  </si>
  <si>
    <t>Fallas_Tecnologicas</t>
  </si>
  <si>
    <t>Relaciones_Laborales</t>
  </si>
  <si>
    <t>Usuarios,_Productos_y_Practicas</t>
  </si>
  <si>
    <t>Usuarios_Productos_y_Practicas</t>
  </si>
  <si>
    <t>Daños_a_Activos_Fijos_Eventos_Externos</t>
  </si>
  <si>
    <t>Causa</t>
  </si>
  <si>
    <t>Consecuencia</t>
  </si>
  <si>
    <t>MATRIZ DE RIESGOS DE CORRUPCIÓN</t>
  </si>
  <si>
    <t xml:space="preserve"> Riesgo</t>
  </si>
  <si>
    <t>Nivel</t>
  </si>
  <si>
    <t>Descriptor</t>
  </si>
  <si>
    <t xml:space="preserve"> Frecuencia</t>
  </si>
  <si>
    <t>Rara vez</t>
  </si>
  <si>
    <t>Improbable</t>
  </si>
  <si>
    <t>Posible</t>
  </si>
  <si>
    <t>Probable</t>
  </si>
  <si>
    <t>Casi seguro</t>
  </si>
  <si>
    <t>No se ha presentado en los últimos 5 años.</t>
  </si>
  <si>
    <t>Se presentó una vez en los últimos 5 años.</t>
  </si>
  <si>
    <t>Se presentó una vez en los últimos 2 años.</t>
  </si>
  <si>
    <t>Se ha presentado mas de una vez en el año</t>
  </si>
  <si>
    <t>Se presentó una vez en el último año.</t>
  </si>
  <si>
    <t>Corrupción</t>
  </si>
  <si>
    <t xml:space="preserve">Impacto negativo a la
entidad </t>
  </si>
  <si>
    <t>Consecuencias desastrosas
al sector</t>
  </si>
  <si>
    <t>Descripcción</t>
  </si>
  <si>
    <t xml:space="preserve">Afectación parcial a la entidad </t>
  </si>
  <si>
    <t>¿Afecta al grupo de funcionarios del proceso?</t>
  </si>
  <si>
    <t>¿Afecta al cumplimiento de metas y objetivos de la dependencia?</t>
  </si>
  <si>
    <t>¿Afecta al cumplimiento de la misión de la Entidad?</t>
  </si>
  <si>
    <t>¿Afecta al cumplimiento de la misión del sector al que pertenece la Entidad?</t>
  </si>
  <si>
    <t>¿Genera pérdida de confianza de la Entidad, afectando su reputación?</t>
  </si>
  <si>
    <t>¿Genera pérdida de recursos económicos?</t>
  </si>
  <si>
    <t>¿Afecta la generación de los productos o la prestación de servicios?</t>
  </si>
  <si>
    <t>¿Da lugar a detrimento de la calidad de vida de la comunidad por la pérdida del bien, servicios o recursos físicos?</t>
  </si>
  <si>
    <t>¿Genera pérdida de información de la Entidad?</t>
  </si>
  <si>
    <t>¿Genera intervención de los órganos de control, de la Fiscalía u otro Ente?</t>
  </si>
  <si>
    <t>¿Da lugar a procesos sancionatorios?</t>
  </si>
  <si>
    <t>¿Da lugar a procesos disciplinarios?</t>
  </si>
  <si>
    <t>¿Da lugar a procesos penales?</t>
  </si>
  <si>
    <t>¿Genera pérdida de credibilidad del sector?</t>
  </si>
  <si>
    <t>¿Ocasiona lesiones físicas o pérdida de vidas humanas?</t>
  </si>
  <si>
    <t>¿Afecta la imagen regional?</t>
  </si>
  <si>
    <t>¿Afecta la imagen Nacional?</t>
  </si>
  <si>
    <t>¿Genera daño ambiental?</t>
  </si>
  <si>
    <t>¿Da lugar a procesos Fiscales?</t>
  </si>
  <si>
    <t>Valor Impacto de Corrupción</t>
  </si>
  <si>
    <t>Impacto Consolidado</t>
  </si>
  <si>
    <t>Responsable del Riesgo</t>
  </si>
  <si>
    <t>RESPUESTAS</t>
  </si>
  <si>
    <t>SI</t>
  </si>
  <si>
    <t>NO</t>
  </si>
  <si>
    <t>Puntaje</t>
  </si>
  <si>
    <t>N° Riesgo</t>
  </si>
  <si>
    <t>Actividad de control</t>
  </si>
  <si>
    <t>¿Existe un responsable asignado a la ejecución del control?</t>
  </si>
  <si>
    <t>¿El responsable tiene la autoridad y adecuada segregación de funciones en la ejecución del control?</t>
  </si>
  <si>
    <t>¿La fuente de información que se utiliza en el desarrollo del control es información confiable que permite mitigar el riesgo?</t>
  </si>
  <si>
    <t>¿Se deja evidencia de la ejecución del control que permita a cualquier tercero con la evidencia, llegar a la misma conclusión?</t>
  </si>
  <si>
    <t>Total diseño</t>
  </si>
  <si>
    <t>Peso - diseño</t>
  </si>
  <si>
    <t>Calificación de Ejecución del Control</t>
  </si>
  <si>
    <t>¿El control se ejecuta por parte del responsable?</t>
  </si>
  <si>
    <t>Peso de la ejecución</t>
  </si>
  <si>
    <t>Solidez individual de cada control</t>
  </si>
  <si>
    <t>Debe establecer acciones para fortalecer el control</t>
  </si>
  <si>
    <t>Calificación solidez del individual o de controles</t>
  </si>
  <si>
    <t>Promedio solidez del conjunto de controles</t>
  </si>
  <si>
    <t>Rango calificación del conjunto de controles</t>
  </si>
  <si>
    <t>Desplazamiento de Probabilidad</t>
  </si>
  <si>
    <t>Desplazamiento  de Probabilidad Ajustada</t>
  </si>
  <si>
    <t xml:space="preserve">Probabilidad Ajustada </t>
  </si>
  <si>
    <t>Zona de Riesgo Residual</t>
  </si>
  <si>
    <t>Opciones de tratamiento</t>
  </si>
  <si>
    <t>Acciones</t>
  </si>
  <si>
    <t>Soporte de Control</t>
  </si>
  <si>
    <t>Responsable del Control</t>
  </si>
  <si>
    <t>Tiempo de ejecución de la actividad de control</t>
  </si>
  <si>
    <t>Acción de Contingencia</t>
  </si>
  <si>
    <t>Soporte de Acción de Contigencia</t>
  </si>
  <si>
    <t>Responsable de la Acción de Contigencia</t>
  </si>
  <si>
    <t>Tiempo de Ejecución de la Acción de Contigencia (Corto Plazo)</t>
  </si>
  <si>
    <t>Indicador (Por lo menos uno de Eficacia y otro de Efectividad)</t>
  </si>
  <si>
    <t>R12</t>
  </si>
  <si>
    <t>R13</t>
  </si>
  <si>
    <t>R14</t>
  </si>
  <si>
    <t>R15</t>
  </si>
  <si>
    <t>Existe Responsable</t>
  </si>
  <si>
    <t>Asignado</t>
  </si>
  <si>
    <t>No asignado</t>
  </si>
  <si>
    <t>Adecuado</t>
  </si>
  <si>
    <t>Inadecuado</t>
  </si>
  <si>
    <t>Oportuna</t>
  </si>
  <si>
    <t>Inoportuna</t>
  </si>
  <si>
    <t>Directamente</t>
  </si>
  <si>
    <t>No disminuye</t>
  </si>
  <si>
    <t>Prevenir</t>
  </si>
  <si>
    <t>Detectar</t>
  </si>
  <si>
    <t>Confiable</t>
  </si>
  <si>
    <t>No Confiable</t>
  </si>
  <si>
    <t>Se investigan y resuelven oportunamente</t>
  </si>
  <si>
    <t>No se investigan y resuelven oportunamente</t>
  </si>
  <si>
    <t>Completa</t>
  </si>
  <si>
    <t>Incompleta</t>
  </si>
  <si>
    <t>No existe</t>
  </si>
  <si>
    <t>Segregación y autoridad del responsable</t>
  </si>
  <si>
    <t>Es oportuno para prevenir o para detectar</t>
  </si>
  <si>
    <t>Fuente de unformación</t>
  </si>
  <si>
    <t>Observaciones, desviaciones y diferencias</t>
  </si>
  <si>
    <t>Evidencia o rastro</t>
  </si>
  <si>
    <t>Previenen o detectan las causas</t>
  </si>
  <si>
    <t>Periodicidad</t>
  </si>
  <si>
    <t>No es control</t>
  </si>
  <si>
    <t>Observacíones y desviaciones</t>
  </si>
  <si>
    <t>Evidencia de Ejecución</t>
  </si>
  <si>
    <t>Peso</t>
  </si>
  <si>
    <t>Respuesta</t>
  </si>
  <si>
    <t>Criterio</t>
  </si>
  <si>
    <t>Propósito</t>
  </si>
  <si>
    <t>Cómo se realiza la actividad del control</t>
  </si>
  <si>
    <t>¿El control es oportuno para prevenir o para detectar la materialización del riesgo de manera oportuna?</t>
  </si>
  <si>
    <t>¿Las actividades que se desarrollan en el control previenen o detectan las causas que puedan dar origen al riesgo?</t>
  </si>
  <si>
    <t>Siempre</t>
  </si>
  <si>
    <t>Algunas veces</t>
  </si>
  <si>
    <t>Fuerte</t>
  </si>
  <si>
    <t>Débil</t>
  </si>
  <si>
    <t>Solidez</t>
  </si>
  <si>
    <t>Ejecución</t>
  </si>
  <si>
    <t>Diseño</t>
  </si>
  <si>
    <t>¿Las observaciones, desviaciones o diferencias identificadas en el control son investigadas y resueltas de manera oportuna?</t>
  </si>
  <si>
    <t>Indirectamente</t>
  </si>
  <si>
    <t>No Disminuye</t>
  </si>
  <si>
    <t>El Control ayuda a disminuir la PROBABILIDAD</t>
  </si>
  <si>
    <t>El Control ayuda a disminuir el IMPACTO</t>
  </si>
  <si>
    <t>Afectación Probabilidad</t>
  </si>
  <si>
    <t>Probabilidad residual</t>
  </si>
  <si>
    <t>Control</t>
  </si>
  <si>
    <t>DébilRara vezNo Disminuye</t>
  </si>
  <si>
    <t>Una vez en el año</t>
  </si>
  <si>
    <t>Según necesidad</t>
  </si>
  <si>
    <t>Durante la vigencia fiscal</t>
  </si>
  <si>
    <t>Cuatrimestral</t>
  </si>
  <si>
    <t>Bimestral</t>
  </si>
  <si>
    <t>Trimestral</t>
  </si>
  <si>
    <t>Diario</t>
  </si>
  <si>
    <t>Semanal</t>
  </si>
  <si>
    <t xml:space="preserve">Tiempo de ejecución </t>
  </si>
  <si>
    <t>R16</t>
  </si>
  <si>
    <t>R17</t>
  </si>
  <si>
    <t>R18</t>
  </si>
  <si>
    <t>R19</t>
  </si>
  <si>
    <t>R20</t>
  </si>
  <si>
    <t>R21</t>
  </si>
  <si>
    <t>R22</t>
  </si>
  <si>
    <t>R23</t>
  </si>
  <si>
    <t>R24</t>
  </si>
  <si>
    <t>Imposibilidad de garantizar la custodia y protección de la información de la entidad así como la tenencia de la documentación conforme a los procedimientos establecidos de consulta y almacenamiento.</t>
  </si>
  <si>
    <t>No contar con la debida disposición y salvaguarda de los documentos, lo cual hace que sean vulnerables para su manipulación y perdida 
Rotación de unidades documentales entre funcionarios de la Entidad, sin el previo aviso a Gestión Documental
Pérdida, destrucción o daño total en la documentación física a causa de evento catastrófico en el lugar de custodia del archivo.</t>
  </si>
  <si>
    <t>Entorpecimiento en las acciones díarias del personal de planta ocasionando retrasos en la ejecución de las actividades de cada proceso.</t>
  </si>
  <si>
    <t>Deterioro de los bienes fiscales del Municipio ocasionando una depreciación que requerirá de más recursos para su recuperación.</t>
  </si>
  <si>
    <t xml:space="preserve">No contar con el personal requerido para cubrir el mantenimiento de los predios durante el periodo
Falta de recursos 
Restricciones sanitarias que impiden dar cumplimiento al cronograma </t>
  </si>
  <si>
    <t>Invasión e incursión en sanciones legales a la entidad por la falta de control de los bienes inmuebles del Municipio</t>
  </si>
  <si>
    <t>Apropiciación por parte de los funcionarios de los bienes de la entidad</t>
  </si>
  <si>
    <t>Distorción en la medición de espacios, áreas, valores y demás factores que pueden arrojar una compensación social distante de la realidad.</t>
  </si>
  <si>
    <t xml:space="preserve">omision de información por parte de la población afectada. 
No disponer de los equipos tecnológicos necesarios (camara fotográfica) para tomar los registros de las visitas prediales.
ausencia de  procedimiento  documentado. 
</t>
  </si>
  <si>
    <t>Destinación incorrecta de los recursos favoreciendo terceros que no cumplen con los requisitos.</t>
  </si>
  <si>
    <t xml:space="preserve">Busqueda de intermediarios e influencias para resultar beneficiarios </t>
  </si>
  <si>
    <t>retraso en los plazos establecidos al inicio del proyecto.</t>
  </si>
  <si>
    <t>Retraso en la consolidación de la información que la entidad debe velar por su seguimiento y reporte.</t>
  </si>
  <si>
    <t xml:space="preserve">* No presentacion oportuna de los funcionarios con respecto al avance de las acciones de mejora 
* no revsión periodica del cronograma de informes </t>
  </si>
  <si>
    <t>Retraso en las actividades de control interno generando afectación en los procesos por falta de vigilancia oportuna.</t>
  </si>
  <si>
    <t xml:space="preserve">incumplimiento de las metas del proceso por falta de recursos 
solicitud de documentación a entidades externas 
Falta de planeación en la adquisición </t>
  </si>
  <si>
    <t xml:space="preserve">Falta de seguimiento y supervision del contrato
No ejecutar las obligaciones establecidas en el contrato </t>
  </si>
  <si>
    <t>Llevar planillas con el control de préstamos de las unidades documentales e identificación de los funcionarios.</t>
  </si>
  <si>
    <t xml:space="preserve">Actualización de base de datos con identificación de uso y destinación de franjas publicas, georeferenciadas a nivel rural y urbano, base RUPI, indicador en m2  por sectores. </t>
  </si>
  <si>
    <t xml:space="preserve">Cronograma anual de mantenimientos preventivos </t>
  </si>
  <si>
    <t>Sistemas de información protegidos con Software Antivirus, roles de usuario y contraseñas, copias de seguridad, firewall</t>
  </si>
  <si>
    <t>Conciliación de  bienes inmuebles a cargo del IDUVI en conjunto con el área contable</t>
  </si>
  <si>
    <t xml:space="preserve">Establecer el cronograma de mantenimiento de los bienes </t>
  </si>
  <si>
    <t xml:space="preserve">Revisión de los datos consignados en los documentos de identificación de unidades familiares </t>
  </si>
  <si>
    <t xml:space="preserve">Cronograma de informes consolidado por la Oficina de control interno </t>
  </si>
  <si>
    <t xml:space="preserve">Calendario digital donde se lleva a cabo el control </t>
  </si>
  <si>
    <t>control de ofertas de compra</t>
  </si>
  <si>
    <t xml:space="preserve">planilla manual de asignación de solicitudes </t>
  </si>
  <si>
    <t xml:space="preserve">Socializacion de informacion adecuada para el manejo y tratamiento de flujo de ingreso de las unidades documentales dentro de la entidad; capacitaciones de gestion documental a funcionarios y contratistas al debido proceso del  formato de control de traslado interno de unidad de documentos. </t>
  </si>
  <si>
    <t>Lider de proceso y grupo de Gestión Documental</t>
  </si>
  <si>
    <t>Profesional Universitario Gestión Inmobiliaria.
Profesional Universitario Subgerencia de Desarrollo.</t>
  </si>
  <si>
    <t xml:space="preserve">Caracterizar y sistematizar toda la información técnica  y juridica de cada uno de los predios que conforman la Base de datos EXCEL al igual que en la georeferenciación en ARGIS  y Google Maps.  .
* Monitoreo, control y seguimiento semestral de la información con alcenace sobre los expedientes fisicos que reposan en la entidad, mediante listas de chequeo y selección de nuevos predios  mediantes actas de entrega y dotaciones. 
* Hacer pública la información de los predios que conforman el patrimonio inmobiliario con el inventario actualizado durante las vigencias. </t>
  </si>
  <si>
    <t>Profesional Universitario Gestión Inmobiliaria</t>
  </si>
  <si>
    <t>Socialización y divulgación de todas las actividades que se desarrollen en cumplimiento del PETH y contol de participación por parte de los funcionarios.</t>
  </si>
  <si>
    <t>Profesional Especializado Subgerencia Administrativa y Financiera</t>
  </si>
  <si>
    <t>Profesional universitario Gestión TICS</t>
  </si>
  <si>
    <t>Realizar copias de seguridad semanalmente
salvaguardar contraseñas de los equipos y las aplicaciones</t>
  </si>
  <si>
    <t>Profesional Universitario
Gestión de Recursos Físicos</t>
  </si>
  <si>
    <t xml:space="preserve">Hacer seguimiento trimestralmente de los bienes asignados a los funcionarios </t>
  </si>
  <si>
    <t xml:space="preserve">Profesional Universitario Gestión Social </t>
  </si>
  <si>
    <t>Profesional Universitario
Proceso de Habitabilidad</t>
  </si>
  <si>
    <t>Profesional Universitario encargado del SGC</t>
  </si>
  <si>
    <t>Realizar seguimiento a los vencimientos de las comunicaciones en el sistema ORFEO.</t>
  </si>
  <si>
    <t>Profesional Universitario Atención al Ciudadano</t>
  </si>
  <si>
    <t xml:space="preserve">Seguimiento al cronograma de informes </t>
  </si>
  <si>
    <t>Jefe de oficina de control interno</t>
  </si>
  <si>
    <t>Seguimiento a la suscripción y reporte de avances a los planes de mejoramiento 
Informes a la Gerencia IDUVI</t>
  </si>
  <si>
    <t xml:space="preserve">actualizar periodicamente los tiempos de respuesta y hacer la respectiva depuración de lo que ya se ha constestado </t>
  </si>
  <si>
    <t xml:space="preserve">tecnico administrativo </t>
  </si>
  <si>
    <t xml:space="preserve">llevar el seguimiento de los procesos de adquisición, y tomar las acciones pertinentes cuando estos se retrasen </t>
  </si>
  <si>
    <t xml:space="preserve">Adelantar seguimiento trimestral a  los planes de accion por procesos
Presentar resultados en el Comité de Gestión y desempeño  </t>
  </si>
  <si>
    <t xml:space="preserve">Jefe Oficina Asesora de Planeación / Gerente </t>
  </si>
  <si>
    <t xml:space="preserve">Realizar seguimiento a las fechas establecidas en el plan anual de adquisiciones para realizar los respectivos estudios con antelación </t>
  </si>
  <si>
    <r>
      <rPr>
        <sz val="12"/>
        <rFont val="Calibri"/>
        <family val="2"/>
        <scheme val="minor"/>
      </rPr>
      <t>profesional Universitario Oficina de Contratación</t>
    </r>
    <r>
      <rPr>
        <b/>
        <sz val="12"/>
        <rFont val="Calibri"/>
        <family val="2"/>
        <scheme val="minor"/>
      </rPr>
      <t xml:space="preserve"> </t>
    </r>
  </si>
  <si>
    <t>(Cantidad de prestamos en planilla fisico/ Cantidad de prestamos en planilla digital)*100</t>
  </si>
  <si>
    <t>(N° de actividades realizadas / N° de actividades programadas ) *100</t>
  </si>
  <si>
    <t>N° de bienes inventariados / N° total de Bienes existentes *100</t>
  </si>
  <si>
    <t>(No. reportes ejecutados/No. reportes solicitados) *100</t>
  </si>
  <si>
    <t>(Presupuesto ejecutado / Presupuesto apropiado ) *100</t>
  </si>
  <si>
    <t>(Nº de actividades cumplidas / total actividades programadas en el cronograma )*100</t>
  </si>
  <si>
    <t>(Nº de hallazgos gestionados mediante planes de mejoramiento / Nº total de hallazgos identificados)*100</t>
  </si>
  <si>
    <t>(N° de  procesos que se realizan dentro de los terminos y requisitos legales  / Total de proceso de requerimientos y procesos) x 100%</t>
  </si>
  <si>
    <t xml:space="preserve">(N° de predios adquiridos / N°  de predios a adquirir) 100)   </t>
  </si>
  <si>
    <t>(# metas ejecutadas del Plan indicativo/# metas programadas en el Plan indicativo) x 100%</t>
  </si>
  <si>
    <t>Medición</t>
  </si>
  <si>
    <t>Profesional Universitario de Contratación</t>
  </si>
  <si>
    <r>
      <rPr>
        <sz val="11"/>
        <rFont val="Arial Narrow"/>
        <family val="2"/>
      </rPr>
      <t>profesional Universitario Oficina de Contratación</t>
    </r>
    <r>
      <rPr>
        <b/>
        <sz val="11"/>
        <rFont val="Arial Narrow"/>
        <family val="2"/>
      </rPr>
      <t xml:space="preserve"> </t>
    </r>
  </si>
  <si>
    <t>Expedición de circular informativa respecto de las fechas, plazos y responsables de atender a los informes requeridos</t>
  </si>
  <si>
    <t>(Nº de informes rendidos /N° total de informes requeridos)*100</t>
  </si>
  <si>
    <t>* Factores externos que impidan el correcto desarrollo de las actividades propuestas
*  Mala programacion de las actividades propuestas en el año</t>
  </si>
  <si>
    <t>Hacer seguimiento al cronograma de auditorías a través del comité de Gestión y Desempeño</t>
  </si>
  <si>
    <t>Seguimiento al cronograma de actividades , Seguimiento mediante el comité de coordinación de control interno y comité de gestión y desempeño</t>
  </si>
  <si>
    <t>Prolongación de malas prácticas conducentes a seguir generando hallazgos.</t>
  </si>
  <si>
    <t>No se tengan en cuenta las recomendaciones hechas por control interno y los entes de control externos por parte de los procesos auditados o la gerencia de la entidad.</t>
  </si>
  <si>
    <t xml:space="preserve">Seguimiento a la suscripción y reporte de avances a los planes de mejoramiento. </t>
  </si>
  <si>
    <t>Actualización e implementación del procedimiento de compensaciones sociales en el Sistema de Gestión de Calidad.</t>
  </si>
  <si>
    <t>Pérdida de control de los elementos bienes muebles y equipos de computo de la entidad.</t>
  </si>
  <si>
    <t xml:space="preserve">Realizar las actualizaciones del inventario cada vez que se presente la necesidad y asi mantenerlo actualizado para realizar la conciliación </t>
  </si>
  <si>
    <t xml:space="preserve">Hacer seguimiento a las actividades programadas en el plan de mantenimiento </t>
  </si>
  <si>
    <t>(# actividades ejecutadas / # actividades programadas ) *100</t>
  </si>
  <si>
    <t>Utilización de los bienes que le suministra la entidad para su propio beneficio.</t>
  </si>
  <si>
    <t>Profesional Universitario del proceso de Gestión de Recursos Físicos</t>
  </si>
  <si>
    <t>Acta de inspección</t>
  </si>
  <si>
    <t>12 días al año</t>
  </si>
  <si>
    <t>Remisión de informe a la subgerencia Administrativa y Financiera</t>
  </si>
  <si>
    <t>Informe de hallazgos</t>
  </si>
  <si>
    <t>Profesional Universitario del Proceso de Recursos Físicos</t>
  </si>
  <si>
    <t>10 días hábiles</t>
  </si>
  <si>
    <t>Bienes sin hallazgos por inspección / Bieneds entregados a los funcionarios * 100</t>
  </si>
  <si>
    <t>(# de planos elaborados / # de solicitudes de elaboración de planos) * 100</t>
  </si>
  <si>
    <t>Trabajar en conjunto con la Dirección de urbanismo del Municipio, para evitar la devolución de los planos.</t>
  </si>
  <si>
    <t xml:space="preserve">*Velar por la custodia de los expedientes en el espacio establecido para tal fin.
*'Solicitar al proceso de gestión TICS el  bloqueo de las bases de datos </t>
  </si>
  <si>
    <t>(N° de expedientes en completitud de requisitos / N° total de expedientes de postulados)*100</t>
  </si>
  <si>
    <t>6 meses</t>
  </si>
  <si>
    <t>Acta del comité</t>
  </si>
  <si>
    <t>Profesional Universitario del Proceso de Habitabilidad</t>
  </si>
  <si>
    <t>1 mes</t>
  </si>
  <si>
    <t>N° de expedientes sin hallazgos / N° total de expedientes de postulados * 100</t>
  </si>
  <si>
    <t>omisión por parte de los supervisores y/o contratistas en el alcance de las obligaciones establecidas dentro del contrato.</t>
  </si>
  <si>
    <t>Evaluación periódica del contratista firmada por las partes.</t>
  </si>
  <si>
    <t>Supervisor de contrato</t>
  </si>
  <si>
    <t>Pliegos de condiciones hechos a la medida de una firma en particular.
Contratar con compañías de papel, las cuales son especialmente creadas para participar en procesos específicos, que no cuentan con experiencia, pero si con músculo financiero.</t>
  </si>
  <si>
    <t>Definir las condiciones contractuales de tal forma que se ajusten a la selección reducida de oferentes.
Identificar proveedores antes que la necesidad que debe suplir la entidad al momento de construir el proceso contractual.</t>
  </si>
  <si>
    <t>Favorecimiento a un tercero
Falta a los principios de contratación partiendo de seleccionar el proveedor en lugar de la necesidad de la entidad</t>
  </si>
  <si>
    <t>Contestar oportunamente las observavciones realizadas al proceso, garantizando la pluralidad de oferentes e igualdad de condiciones para los participantes.</t>
  </si>
  <si>
    <t>Respuesta a las observaciones</t>
  </si>
  <si>
    <t>5 días hábiles</t>
  </si>
  <si>
    <t>Publicación de adenda dentro del término establecido</t>
  </si>
  <si>
    <t>Adenda publicada en SECOP II</t>
  </si>
  <si>
    <t>Profesional Universitario del proceso de Contratación</t>
  </si>
  <si>
    <t>1 día hábil</t>
  </si>
  <si>
    <t>(N° de observaciones contestadas / N° de observaciones realizadas) * 100</t>
  </si>
  <si>
    <t>Llevar a cabo los mantenimientos preventivos cada seis meses de acuerdo al cronograma establecido 
Copias de seguridad, antivirus y entre otras actividades para salvaguradar información</t>
  </si>
  <si>
    <t xml:space="preserve"> (mantenimientos ejecutados /# mantenimientos programados)*100</t>
  </si>
  <si>
    <t xml:space="preserve">Falta de mantenimiento preventivo y actualización de los sistemas de información y equipos 
Desactualización de los equipos y sus componentes.
Adquisición de soluciones tecnologicas que no cumplan con las necesidades y especificaciones tecnicas requeridas </t>
  </si>
  <si>
    <t>*Falta de controles de acceso 
*Falta de actualizaciones 
*Falla en los equipos de seguridad perimetral
-Errores Humanos</t>
  </si>
  <si>
    <t>Manipulación inadecuada de la  infraestructura y de  los sistemas de información.</t>
  </si>
  <si>
    <t>Omisión en el cumplimiento de los términos establecidos por normativa legal, en materia de peticiones, u orden judicial.</t>
  </si>
  <si>
    <t xml:space="preserve">Ser sujeto de proceso disciplinario y/o tutela contra la Entidad y/o funcionario, y queja ante las Entidades de Control. </t>
  </si>
  <si>
    <t>Dsiminucion en el recaudo propio en los programas de inversion generadas por causas externas e internas</t>
  </si>
  <si>
    <t>No garantía de la existencia de los recursos en la medida y los plazos que e establecieron para el cumplimiento de las metas haciendo imposible generar la disponbiilidad presupuestal conforme a la periodicidad en la que se solicita.</t>
  </si>
  <si>
    <t>Seguimiento a los procesos de cobro que adelanta la entidad, a traves de la gerencia general, la subgernecia financiera y administrativa, oficina juridica, tesoreria y cobro coactivo, a través de la instancia establecida para tal fin.</t>
  </si>
  <si>
    <t>Retomar la sesión ordinaria de la instancia estabecida como comité Juridico Financiero e Inmobiliario de acuerdo a la periodicidad con la que se definió en la constitución del mismo.</t>
  </si>
  <si>
    <t>Subgerente administrativo y financiero y Profesional del área que requiera citar.</t>
  </si>
  <si>
    <t>Evidencia (Ruta de acceso)</t>
  </si>
  <si>
    <t>Seguimiento 1</t>
  </si>
  <si>
    <t>Seguimiento 2</t>
  </si>
  <si>
    <t>Seguimiento 3</t>
  </si>
  <si>
    <t>*crear cronograma en donde se especifiquen las fechas de seguimientos  para cada proceso. 
*Elaborar lista de chequeo en donde se pueda verificar el oportuno  cumplimiento.
*Llevar registro de las notificaciones mediante oficio y/o acta en caso de mesas de trabajo.</t>
  </si>
  <si>
    <t xml:space="preserve">incumplimiento parcial del procedimiento a seguir en los respectivos reportes al sistema ORFEO.
</t>
  </si>
  <si>
    <t xml:space="preserve">Las entidades transversalmente vinculadas con la entidad  no aporten los insumos necesarios para dar cumplimiento a las metas.
Realización de actividades no determinadas en el manual de funciones que entorpecen el cumplimiento de lo ya establecido en el PDM
</t>
  </si>
  <si>
    <t>Omisión y extralimitación de funciones acorde a la normatividad vigente
Incumplimiento en los planes de acción y actividades del Plan de Desarrollo.</t>
  </si>
  <si>
    <t xml:space="preserve">Seguimiento a los planes de acción, PAA, e informe a la Alta Gerencia de la Entidad </t>
  </si>
  <si>
    <t xml:space="preserve">calendario con fechas establecidas para el diligenciamiento de la información en la plataforma Sitesigo </t>
  </si>
  <si>
    <t xml:space="preserve">seguimiento a los procesos de adquisición predial </t>
  </si>
  <si>
    <t>Deficit en el recaudo de las cesiones tipo A en compensación, carga VIP y demas temas de recaudo propio de la Entidad. De otro lado el deficit en la asignación de recursos asignados al IDUVI por parte del nivel central</t>
  </si>
  <si>
    <t>Profesional Universitario del proceso de Habitabilidad</t>
  </si>
  <si>
    <t>Posibilidad de direccionamiento de contratos</t>
  </si>
  <si>
    <t>Posibilidad de peculado por apropiación</t>
  </si>
  <si>
    <t>Aceptar dinero, otra utilidad y/o promesas remuneratorias para favorecer a un tercero para la asignación de los recursos.</t>
  </si>
  <si>
    <t>Posibilidad de pérdida de unidades documentales</t>
  </si>
  <si>
    <t xml:space="preserve">Posibilidad de inadecuado funcionamiento de los Sistemas de información y equipos de computo </t>
  </si>
  <si>
    <t xml:space="preserve">Posibilidad de vulneración a la reserva e integridad de los sistemas de información </t>
  </si>
  <si>
    <t xml:space="preserve">Posibilidad de Incumplimiento del plan de mantenimiento de los bienes fiscales a cargo de la Entidad. </t>
  </si>
  <si>
    <t xml:space="preserve">Posibilidad de cálculo erroneo en compensación social </t>
  </si>
  <si>
    <t>Posibilidad de Incumplimiento en los terminos legales  de respuestas a las PQR´S y Derechos de Petición allegados por la comunidad (PQR sin respuesta a tiempo).</t>
  </si>
  <si>
    <t>Posibilidad de Incumplimiento de metas en la  ejecución de los recursos planificados durante el cuatrenio, por causa del recaudo propio el cual impide la ejecucion de los mismos, generando un incremento en la cartera de la Entidad.</t>
  </si>
  <si>
    <t>Posibilidad de No presentar en terminos los informes a los entes de control</t>
  </si>
  <si>
    <t>Posibilidad de Incumplimiento al cronograma de auditorias y evaluación interna a los procesos</t>
  </si>
  <si>
    <t>Posibilidad de Inobservancia e incumplimiento a los planes de mejoramiento producto de las auditorias internas y externas</t>
  </si>
  <si>
    <t>Posibilidad de Dilación o incumplimiento de terminos en relación con Derechos de Petición y/o procesos judiciales.</t>
  </si>
  <si>
    <t xml:space="preserve">Posibilidad de Incumplimiento de las metas de plan de desarrollo relacionadas con la adquisición predial </t>
  </si>
  <si>
    <t>Posibilidad de Retraso e incumpliemiento en los reportes periódicos en materia de metas y ejecución prespuestal co respecto a lo establecido en el Plan de Desarrollo</t>
  </si>
  <si>
    <t>Posibilidad de que por acción u omisión se ejecute el presupuesto de la entidad sin tener en cuenta las condiciones y requisitos legales y administrativos establecidos.</t>
  </si>
  <si>
    <t>Deficiencia en la supervisión y ejecución de los recursos al no identificar los servicios prestados o bienes efectivamente adquiridos en contraste con lo requerido y facturado.</t>
  </si>
  <si>
    <t>Remitir las cuentas de cobro para pago sin el lleno de los documentos requeridos para el respectivo trámite.
*No llevar a cabo una eficiente supervisión de los recursos y ejecuciones contractuales.</t>
  </si>
  <si>
    <t>Tramitar las respectivas cuentas de cobro a las que haya lugar con documentos incompletos ante el área competente para solicitar el pago, sin haber previamente una validación de cumplimiento, trámite de documentos que acompañan la cuenta, o certificados que acrediten la validación de la ejecución y la disponibilidad presupuestal.</t>
  </si>
  <si>
    <t>Profesional Universitario de Tesorería</t>
  </si>
  <si>
    <t>Registro a través de actas de entrega y recibido del inmueble entre el IDUVI y la dependencia o entidad pública responsable de recibir el inmueble</t>
  </si>
  <si>
    <t>Solicitud de documentos que acrediten la disponibilidad de los recursos y la efectiva ejecución de las especificaciones contractuales tales como CDP, RP, Certificaciones del supervisor, cuenta de cobro, entre otros.</t>
  </si>
  <si>
    <t>Registro de la documentación para trámite de las cuentas de cobro en la Oficina de Tesorería</t>
  </si>
  <si>
    <t>Cuenta de cobro</t>
  </si>
  <si>
    <t>profesional universitario de I Tesorera, supervisor de contrato.</t>
  </si>
  <si>
    <t>Devolución de la cuenta de cobro a la supervisión o lider de proceso para los respectivos ajustes de la cuenta sin el lleno de los requisitos.</t>
  </si>
  <si>
    <t>Registro en libro de actas</t>
  </si>
  <si>
    <t>Profesional Universitario del área de Tesorería</t>
  </si>
  <si>
    <t>1 dia hábil</t>
  </si>
  <si>
    <t>Remisión de informe a la subgerencia Administrativa y Financiera y a su vez a la gerencia.</t>
  </si>
  <si>
    <t>RC1</t>
  </si>
  <si>
    <t>RC2</t>
  </si>
  <si>
    <t>RC3</t>
  </si>
  <si>
    <t>RC4</t>
  </si>
  <si>
    <t>MATRIZ DE RIESGOS DE LOS PROCESOS</t>
  </si>
  <si>
    <t>Valoración del control</t>
  </si>
  <si>
    <t>MATRIZ DE RIESGOS DEL PROCESO</t>
  </si>
  <si>
    <t>MATRIZ DE RIESGOS DEL PROCESO
Evaluación y Tratamiento</t>
  </si>
  <si>
    <t>MR-MC-01</t>
  </si>
  <si>
    <t>Acuerdo de cooperación entre Entidades Municipales, de los procesos, procedimientos y coceptos propios de Gestión Inmobiliaria implementados para el cumplimiento de las obligaciones.
* Monitoreo, control y seguimiento trimestral de los procesos consecutivos de solicitudes en las listas de chequeo referenciado. 
* Hacer pública la información de los documentos y conceptos emitidos por Gestión Inmobiliaria al igual que la concertación previa sobre las cesiones obligatorias. 
* Realizar estudios técnicos y juridicos de predios para adquirir  como espacio público en sus diferentes destinaciones.</t>
  </si>
  <si>
    <t>Incumplir con la planta de personal de la entidad el acceso a los derechos y beneficios que se definen en el Plan estratégico de talento humano que debe adoptar anualmente la entidad.</t>
  </si>
  <si>
    <t xml:space="preserve">1. Ausencia de un Plan Estratégico del Talento humano
2.  Inadecuada Programación y socialización. 
3. Falta de compromiso y participación por parte de los funcionarios a las actividades programadas. 
4. Dificultad en la disponibilidad de recursos. </t>
  </si>
  <si>
    <t>Posibilidad de incumplimiento a las actividades establecidas en el Plan Estratégico de Talento Humano</t>
  </si>
  <si>
    <t>Seguimiento periódico a las actividades propuestas en el PETH, socialización y divulgación adecuada de las actividades a desarrollar y control de asistencia a las mismas cuya participación es de manera obligatoria.</t>
  </si>
  <si>
    <t>Asignación de beneficiarios a los proyectos que no cumplen con los requisitos para beneficio propio o de un tercero, o que buscan evitar el trámite a través de dádivas.</t>
  </si>
  <si>
    <t>Revisión a través de actas de visitas, registros fotográficos, radicaciones, procesos contractuales a través del SECOP II, cruces de bases de datos para validar y verificar información que garantice el cumplimiento estricto de la norma vigente y de las condiciones propias de la entidad.</t>
  </si>
  <si>
    <t>*Mantener el listado de requisitos establecido por la entidad 
*Divulgar el listado de requisitos 
*Llevar a cabo la verificación de los documentos aportados por los solicitantes. 
*Llevar trazabilidad mediante las herramientas tales como SECOP II y ORFEO.</t>
  </si>
  <si>
    <t>Actas de visita social, evaluación de factores de calificación, radicaciones, registros fotográficos, revisión en los diferentes comites.</t>
  </si>
  <si>
    <t>Posibilidad de Demora en la elaboración de planos.</t>
  </si>
  <si>
    <t xml:space="preserve">Requerimientos adicionales que requieren ajustes indicados por parte de la Dirección de urbanismo del Municipio </t>
  </si>
  <si>
    <t>Revisiones periódicas mediante mesas de trabajo con la Dirección de Urbanismo para dar claridad a los ajustes que se deben hacer.</t>
  </si>
  <si>
    <t>Realizar seguimiento y alertas preventivas  a los vencimientos de PQR´S en  el sistema ORFEO y enviar notificaciones informando a cada área las solicitudes de PQR´S que han sido asignadas y sus vencimientos.</t>
  </si>
  <si>
    <t>(# de comunicaciones respondidas en términos/ # comunicaciones por responder) *100</t>
  </si>
  <si>
    <t>Desinformación de predios o franjas de los elementos del espacio público municipal en m2  por uso y destinación, para la implementación de politicas, planes, programas y proyectos de la administración.
Desconocimiento de los predios que formen parte y propiedad del Municipio.</t>
  </si>
  <si>
    <t>Desinformación y caracterización inconsistente de los predios del Municipio sin un registro coherente.</t>
  </si>
  <si>
    <t>Desconocimiento en la norma aplicable y las respectivas aplicaciones de compensación de acuerdo a la solicitud de concertación.
Falta de soportes para validar la información de la cesiópn tipo A que requiere ser concertada y posteriormente liquidada.</t>
  </si>
  <si>
    <t>Requerimientos por parte del afectado respecto a la liquidación mal hecha por parte del Instituto.</t>
  </si>
  <si>
    <t>(No. de predios georreferenciados  / No. de predios identificados en el RUPI) x 100%</t>
  </si>
  <si>
    <t>Posibilidad de inconsistencia en la liquidación de cesiones tipo A respecto al área o valor liquidado.</t>
  </si>
  <si>
    <t>La notificación personal de la resolución de liquidación realizada por el área juridica</t>
  </si>
  <si>
    <t>El borrador de la liquidación es revisado y aprobado por el área juridica del IDUVI y por el Subgerente de desarrollo</t>
  </si>
  <si>
    <t>(m² cesiones tipo A liquidados por Gestión Inmobiliaria  / m² cesiones tipo A con solicitud de liquidación) x 100%</t>
  </si>
  <si>
    <t>Posibilidad de retrasos en los reportes del SECOP II conforme al calendario establecido.</t>
  </si>
  <si>
    <t>Posibilidad de Incumplimiento del contrato por cualquiera de las partes interesadas.</t>
  </si>
  <si>
    <t>Falta de planeación por parte de la dependencia que requiere el bien o servicio ocasionando tardanza en el proceso.
Desconocimiento del cronograma establecido para la adjudicación del proceso.</t>
  </si>
  <si>
    <t>Sanciones y cierre de la plataforma para poder alimentar los campos establecidos según corresponda ocasionando inconvenientes en el proceso pre contractual, contractual y pos contractual.</t>
  </si>
  <si>
    <t>Socializar el cronograma del proceso contractual al responsable del mismo mediante correo electrónico.</t>
  </si>
  <si>
    <t>( Nº de remisiones de cronogramas / Nº de total de contratos en curso)*100</t>
  </si>
  <si>
    <t>Suscripción del acta de delegación de supervisor firmada por las partes, informes periódicos del contrato por parte del supervisor en la herramienta SECOP II</t>
  </si>
  <si>
    <t>(N° de contratos con cumplimiento satisfactorio / N° de contratos suscritos en el periodo) * 100</t>
  </si>
  <si>
    <t>Hacer uso de la herramienta SECOP II que garantiza la transparencia y pluralidad de oferentes en los procesos, considerando la respectiva modalidad de contratación, incluyendo la plataforma virtual.</t>
  </si>
  <si>
    <t>Respuesta inoportuna y fuera de terminos de comunicaciones y PQRS</t>
  </si>
  <si>
    <t>Acciones preventivas para mitigar los riesgos de seguridad digital.
-Antivirus
-Monitorero de Correo Maliciosos</t>
  </si>
  <si>
    <t>(N°copias realizadas /N°copias de seguidad programadas )*100</t>
  </si>
  <si>
    <t>Posibilidad de generar un concepto equivocado respecto a solicitud de consulta de la norma de ordenamiento territorial vigente.</t>
  </si>
  <si>
    <t>Desconocimiento de la norma de ordenamiento territorial vigente.
Omisión de sanciones que afecten la aplicación de la norma</t>
  </si>
  <si>
    <t>Proyección de un concepto sesgado de la realidad de lo establecido en la norma.</t>
  </si>
  <si>
    <t>Revisar periodicamente la norma vigente en materia de ordenamiento territorial y las respectivas sentencias que la compongan o regulen para la generación de conceptos.</t>
  </si>
  <si>
    <t>Líder de proceso</t>
  </si>
  <si>
    <t>Socializar de manera permanente la normatividad vigente para los respectivos trámites y procesos del área.</t>
  </si>
  <si>
    <t>(N° de conceptos generados / N° de solicitudes de conceptos * 100</t>
  </si>
  <si>
    <t>(# de reclamaciones resueltas por calculos erroneos / # total de liquidaciones de compensación social)*100</t>
  </si>
  <si>
    <t>Iniciar cobro persuasivo y coactivo conforme a las resoluciones de liquidación que se encuentren en proceso de cobro y que no haya novedad respecto al mismo.</t>
  </si>
  <si>
    <t>(Valor de recaudo en el periodo / Total de la cartera * 100</t>
  </si>
  <si>
    <t>(Cuentas de cobro a conformidad / cuentas de cobro radicadas) * 100</t>
  </si>
  <si>
    <t>Posibilidad de efecto dañoso sobre el inventario de bienes muebles y equipos de computo por daño o hurto.</t>
  </si>
  <si>
    <t>Posibilidad de efecto dañoso sobre bienes públicos, por bienes servicios u obra pagados, sin haberse recibido a satisfacción.</t>
  </si>
  <si>
    <t>Posibilidad de efecto dañoso sobre intereses patrimoniales de naturaleza pública, por cartera no cobrada por el instituto.</t>
  </si>
  <si>
    <t>El profesional de recursos físicos llevará a cabo la toma física del inventario 2 vces al año</t>
  </si>
  <si>
    <t>El profesional de recursos físicos llevará periodica actualización junto con el área contable de las pólizas de cobertura conforme a las nuevas adquisiciones junto con las reclamaciones y siniestros a los que haya lugar.</t>
  </si>
  <si>
    <t>Omisión en el procedimiento de ingresos y salidas del almacén conducente a que se presenten pérdidas, daños, hurtos en los bienes a cargo de los funcionarios.</t>
  </si>
  <si>
    <t>Omisión de actuaciones que conduzcan a certificar el recibido a satisfacción de los bienes servicios o obras sobre bienes públicos.</t>
  </si>
  <si>
    <t>Servicios pagados sin haber recibido a satisfacción.</t>
  </si>
  <si>
    <t>Supervisar mediante tiempos establecidos o cronogramas, el avance de ejecución de los servicios sobre el bien público.</t>
  </si>
  <si>
    <t>Suscribir las formalidades a las que haya lugar para certificar y validar lo realmenete ejecutado a fin de no certificar lo que no se ha ejecutado.</t>
  </si>
  <si>
    <t>Omisión de cobro persuasivo, coactivo o judicial que conduzcan al incumplimiento en el recaudo por parte de terceros que tienen obligaciones pendientes con el Instituto.</t>
  </si>
  <si>
    <t>Recursos a favor del instituto NO cobrados</t>
  </si>
  <si>
    <t>Control DetectivoManual</t>
  </si>
  <si>
    <t>Hacer seguimiento periodico a los procesos que se encuentren en cobro persuasivo, coactivo o judicial.</t>
  </si>
  <si>
    <t>Medir periodicamente el recaudo de la cartera y reportar al área competente el estado de los procesos de cobro.</t>
  </si>
  <si>
    <t>Incluir como punto en el orden del día el estado actual de los cobros por parte del área de cartera, en la instancia establecida para tratar estos temas.</t>
  </si>
  <si>
    <t>Validar la titularidad del bien público sobre el cual se hace la intervención o servicio junto con las adquisiciones  y sus especificaciones técnicas al momento de recibirlas por el instituto</t>
  </si>
  <si>
    <t xml:space="preserve">Posibilidad de Retraso e Incumplimiento en las jornadas de auditoría externa al sistema de Gestión de Calidad </t>
  </si>
  <si>
    <t>Desconocimiento de la periodicidad de las mediciones del sistema de gestión de calidad por parte del proceso frente a los tiempos establecidos por el organismo certificador.</t>
  </si>
  <si>
    <t>Vencimiento o incumplimiento a la certificación, ocasionando la pérdida de la misma.</t>
  </si>
  <si>
    <t>Revisión periodica mediante mesas de trabajo por parte de la Oficina Asesora de Planeación - Líder de Calidad junto con los procesos, a los diferentes instrumentos de calidad conforme a las fechas establecidas.</t>
  </si>
  <si>
    <t>Posibilidad de retraso en la identificación y georeferenciación de predios del registro unico de patrimonio inmobiliario por parte del apoyo del proceso de G.I.</t>
  </si>
  <si>
    <t>Reportar a los respectivos jefes inmediatos los términos de respuesta a las PQRS y su estado para que se tomen las acciones pertinentes conforme a cada caso.</t>
  </si>
  <si>
    <t>Código:</t>
  </si>
  <si>
    <t>Versión:</t>
  </si>
  <si>
    <t xml:space="preserve"> 1-      Se reportar el número de solicitudes de expedientes por parte de las diferentes áreas el cual ahora reposa en custodia de Gerencia General, de las 288 solicitudes de consulta, se encuentran pendientes por devolver 80        2-             OK          3-        OK</t>
  </si>
  <si>
    <t xml:space="preserve"> 1-      OK        2-          OK        3-   OK</t>
  </si>
  <si>
    <t xml:space="preserve"> 1-              2-                       3-        </t>
  </si>
  <si>
    <t xml:space="preserve"> 1-      Se establece el coronograma de mantenimientos preventivos a la infraestuctura tecnologia mediante circular 10 de 2024.
Por temas de cambio de administración y de posecion de los nuevos funcionarios en periodo de prueba se establecio por este año un mantenimiento preventivo.        2-             NO APLICA          3-        NO APLICA</t>
  </si>
  <si>
    <t xml:space="preserve"> 1-      Copias de seguridad bases de datos Orfeo y HASSQL, realizadas semanalmente.         2-             DILIGENCIAR          3-        DILIGENCIAR</t>
  </si>
  <si>
    <t xml:space="preserve"> 1-   Bienes inventariados sbre el total de bienes existentes en el proceso de recursos fisicos        2-           OK          3-      0</t>
  </si>
  <si>
    <t>1-   Mantenimeinto Predios Hidircos       2-            OK          3-      OK</t>
  </si>
  <si>
    <t>1-    OK. Durante el periodo a reportar no se han generado liquidación de compensación social. 2-   OK3-     OK</t>
  </si>
  <si>
    <t>1-    OK2-   OK3-     OK</t>
  </si>
  <si>
    <t>1-    EN ESTE MOMENTO ESTA EN PROCESO LA RESOLUCION 32.  POR LO ANTERIOR, NO SE TIENE AUN EL NUMERO DE PERSONAS FAVORECIDAS PARA LOS SUBSIDIOS    2-   OK3-     OK</t>
  </si>
  <si>
    <t xml:space="preserve">1-    Se realizan 6 mesas de trabajo con el objetrivo de identificar el estado del proceso para la preparación hacia la auditoría externa con gestión humana, recursos físicos, documental, habitabilidad, inmobiliaria y social.   2-      3-     </t>
  </si>
  <si>
    <t xml:space="preserve">1-    OK    2-   OK    3-     </t>
  </si>
  <si>
    <t>1-     Ppto ejecutado: 3.372.533.971,00 siendo el apropiado de 26.902.231.220,00     2-        Ppto ejecutado: 11.669.565.049,00 siendo el apropiado de 31.173.349.010,00      3-     Ppto ejecutado: 21.856.827.872,75 siendo el apropiado de 34.856.381.342,00</t>
  </si>
  <si>
    <t>1-     DILIGENCIAR    2-        DILIGENCIAR      3-     DILIGENCIAR</t>
  </si>
  <si>
    <t>1-     Se realiza la proyección de 11 procesos contractuales, de los cuales se han publicado 8 por contratación directa y 1 por invitación pública.     2-        OK     3-      OK</t>
  </si>
  <si>
    <t>1-     No hubo adquisición predial     2-        OK     3-      OK</t>
  </si>
  <si>
    <t>1-     Durante el primer semetre del 2024 se esta realizando la elaboración del nuevo plan de desarrollo, del PDM vigente se estan realizando ejecutando las metas 154,157,159,163 y165. En las cuales se realizan la actividades de cuidado y conservación de los predios de importancia estrategica hidrica y ambiental , la administración de los bienes fiscales, la convocatoria de subsidios de mejoramiento de vivienda y de construcción en sitio propio, entre otras.     2-        DILIGENCIAR    3-      DILIGENCIAR</t>
  </si>
  <si>
    <t>1-     Existen 9 cronogramas de procesos contractuales debidamente publicados en el SECOP II    2-     OK 3-      OK</t>
  </si>
  <si>
    <t>1-     Existen 9 cronogramas de procesos contractuales debidamente publicados en el SECOP II  2-     OK   3-      OK</t>
  </si>
  <si>
    <t xml:space="preserve">1-     Se responde el total de los oficios requeridos dado que para el término del cuatrimestre se da la terminación de la vinculación del provisional  2-        3-      </t>
  </si>
  <si>
    <t>1-    OK2-   CON RELACION AL PRIMER CUATRIMESTRE, EL PRESENTE TUVO UN AUMENTO EN EL NUMERO DE SOLICITUDES DEL 350%, DE LAS CUALES SE RECIBIERON 4 ENTRE LA SEGUNDA Y LA TERCERA SEMANA DEL MES DE AGOSTO EL CUAL NO HA FINALIZADO..3-     OK</t>
  </si>
  <si>
    <t>1-     Se realiza la proyección de 11 procesos contractuales, de los cuales se han publicado 8 por contratación directa y 1 por invitación pública.     2-        a fecha de hoy estan en curso 16 procesos judiciales en los diferentes despachos judiciales los estados a la fecha se encuentran al dia     3-      OK</t>
  </si>
  <si>
    <t>1-     No hubo adquisición predial     2-        No hubo adquisición predial     3-      OK</t>
  </si>
  <si>
    <t>1-     DE LOS 16 CONTRATOS ESTABLECIDOS EN EL PAA SE CELEBRARON 6 CONTRATOS YA QUE LOS RESTANTES SE CELEBRARAN EN EL SIGUIENTE CUATRIMESTRE     2-     Se suscribio una mayor cantidad de contratos a los previstos en este periodo atendiendo a que el periodo anteriorno se habia celebrado la cantidad prevista.  3-      OK</t>
  </si>
  <si>
    <t>1-     Durante el cuatrimentre se suscribieron 11 contratos de los cuales ninguno a sido incumplido.  2-     Durante el cuatrimentre se suscribieron 8 contratos de los cuales ninguno a sido incumplido.   3-      OK</t>
  </si>
  <si>
    <t>1-       2-     Recaudo realizado en el periodo   3-      OK</t>
  </si>
  <si>
    <t xml:space="preserve">Relacionar las ACPM en una herramienta (Excel) que permita identificar con facilidad el tipo y el proceso al que pertenecen para hacer un seguimiento mas al detalle.
'Identificar instancias (Comités, subcomité, mesas técnicas) para solicitar el espacio para el seguimiento a los planes de acción.
'generar calendario de alertas de cumplimiento </t>
  </si>
  <si>
    <t>Carpeta en físico de prestamos y devoluciones 2024.</t>
  </si>
  <si>
    <t xml:space="preserve"> 1-      Para este seguimiento, se tuvo en cuenta que estuviera firmada la casilla de devolución de expedientes, lo que nos deja en evidencia que anteriormente no se llevaba un control estricto sobre el préstamo de expedientes. Lo anterior, puede repercutir en la pérdida de expedientes.        2-             En este seguimiento, se pudo evidenciar que en mayo y junio no se realizó un control estricto sobre el préstamo de expedientes, sin embargo, en arás de fortalecer ese proceso se actualizó el formato y se lleva un control más estricto del préstramo.          3-        durante este seguimiento se evidencia que se realizó un total de cuatrocientos quince (415) préstamos de expedientes de los cuales se llevo registro y seguimiento hasta su devolución con el fin de garantizar la custodia de este,se realizó un total de cuatrocientos quince (415) préstamos de expedientes de los cuales se llevo registro y seguimiento hasta su devolución con el fin de garantizar la custodia de este,</t>
  </si>
  <si>
    <t xml:space="preserve"> 1-      Se realizaron 2 resoluciones de liquidación entre Enero y Abril que venían de meses anteriores        2-          Se realizaron 5 resoluciones de liquidación entre Mato y Agosto que vienen de meses anteriores, sin embargo solo se han solicitado 2 durante el periodo de tiempo        3-   Para el este periodo se evidencia que desde el proceso de Gestión Inmobiliaria  se realizarón las resoluciones de liquidación que venian de meses anteriores y de este periodo donde se realizarón los controles de revisión establecidos, mitigando el riesgo du rante este periodo de tiempo</t>
  </si>
  <si>
    <t>Carpete digital en escrritorio funcionario responsable de proceso</t>
  </si>
  <si>
    <t xml:space="preserve"> 1-      82 predios Georeferenciados        2-          163 predios Georeferenciados        3-   Se actualizó el RUPI de acuerdo a los predios identificados y se actualizó base de datos del Instituto </t>
  </si>
  <si>
    <t>Carpeta en físico archivo de gestión  Talernto humano 2024.</t>
  </si>
  <si>
    <t xml:space="preserve"> 1-      Durante el primer cuatrimestre se expidieron y notificaron  28  Resoluciones de nombramiento de los 29 cargos que salieron a concurso de  la  Comisión Nacional de Servicio Civil 
Se otorgaron 5 permisos de un dia  por el dia del cumpleaños
durante el cuatrimestre se concedieron los permisos a los funcionarios para asistir  a las citas medicas de sus hijos y a sus reuniones escolares 
Se realizo  inducción de los jefes nuevos que llegaron en el mes de enero 
Se otorgaron  6 permisos por las llegadas en bicicleta de bicicletas
Se relizo una charla de autocuidado por parte de la Secretaria de Salud al Coppast 
Se realizaron los ecamenes medicos de ingreso y las paiosas activas          2-             En en segundo cuatrimestre  se han  posesionados 17 funcionarios de los 29 que ganaron el concursom Se otorgaron 9 permisos de un dia  por el dia del cumpleaños, para el dia del servidos publico se entregaron chaquetas a los funcionarios de la entidad, Se realizo induccion a los funcionarios que iniciaron el periodo de prueba, Durante este cuatrimestre se celebraron los cumpleaños de los funcionarios que cumplieron en los meses de julio y agosto, entregandoles un postre y arreglandoles el puesto de trabajo            3-        Durante el tercer cuatrimestre se evidencia el cumplimiento de las acciones propuestas para el periodo, ecepto 3 actividades de SST que por el cambio de funcionarios de Planta no se pudieron hacer a cabalidad durante el periodo Avance 85%</t>
  </si>
  <si>
    <t xml:space="preserve">Durante el seguimiento del tercer cuatrimestre se observa que estas acciones se realizarón a cabalidad de acuerdo al cronograma estblecido </t>
  </si>
  <si>
    <t>Carpeta en físico archivo de gestión  Tics 2024.</t>
  </si>
  <si>
    <t xml:space="preserve"> 1-      Se establece el coronograma de mantenimientos preventivos a la infraestuctura tecnologia mediante circular 10 de 2024.
Por temas de cambio de administración y de posecion de los nuevos funcionarios en periodo de prueba se establecio por este año un mantenimiento preventivo.        2-             De acuerdo a la circular 10 se llevaron a cabo los mantenimientos preventivos de la infraestructura tecnológica en el mes de agosto          3-        Para este periodo se nevidencia que las acciones de mejora y controles se relizarón de manera efectiva de acuerdo a cronograma propuesto y el cumplimiento fue edectivo</t>
  </si>
  <si>
    <t xml:space="preserve"> 1-      Copias de seguridad bases de datos Orfeo y HASSQL, realizadas semanalmente.         2-             Copias de seguridad bases de datos Orfeo y HASSQL, realizadas semanalmente.  Es de acarar que las copias de seguridad se realizaron externamnete solo 10 dado a que el funcionario estaba de vacaciones          3-        Se observa que se realizarón las copias de seguridad de los aplicativos de acuerdo a lo propuesto </t>
  </si>
  <si>
    <t xml:space="preserve"> 1-   Bienes inventariados sbre el total de bienes existentes en el proceso de recursos fisicos        2-           Actualmente, no esta vinculado el profesional encargado de este proceso, sin embargo, al no haberse dado de baja ningún bien ya que este proceso se realiza finalizando cada año, el número de bienes inventariados coincide con el total de bienes existentes.          3-      Se evidencia que se realizo designación de un profesional para  la actualización de los inventarios de le entidad y se realizo de manera satisfactoria  </t>
  </si>
  <si>
    <t>1-   Mantenimeinto Predios Hidircos       2-            Se realiza el mantenimeinto de los  Predios Hidircos Altagracia, Peñas Blancas, Rincón Alpino y El Refugio, sin embargo no se presenta un plan de matenimiento.           3-      Se observa en el seguimiento que se realizarón las actividades de mantenimiento de los bienes de acuerdo a las actividades programadas y las evidencias se encuentran debidamente archivadas</t>
  </si>
  <si>
    <t>Carpeta Archivo de Gestión Responsable de proceso</t>
  </si>
  <si>
    <t>1-    OK. Durante el periodo a reportar no se ha generado liquidación de compensación social. 2-   OK. En el periodo a reportar no se ha generado liquidación de compensación social, debido a que, en el predio que se realizó caracterización socioeconomica no aplica dicha compensación. Las demas acciones del área se han orientado al proceso de subsidios de mejoramiento de vivienda y construcción en sitio propio, así como a los proyectos de vivienda, tales como: Los Pinos, Plan Padrino y Villa Mercedes.3-     Se evidencia que desde el proceso de Gestión social se ha caracterizado a la población o usuarios de los procesos de subsidios verificando las areas a intervenir</t>
  </si>
  <si>
    <t>1-    EN ESTE MOMENTO ESTA EN PROCESO LA RESOLUCION 32 Y 136.PARA EL    2-   A PESAR DE SOCIALIZAR LOS REQUISITOS PARA POSTULACION DE LOS DIFERENTES SUBSIDIOS, LOS CIUDADANOS (AS) RADICAN CON LA DOCUMENTACION INCOMPLETA.3-     Se Evidencia que se implementa la verificación de los documentos radicados por los usuarios se encuentren completos y con la información clara y veridica</t>
  </si>
  <si>
    <t>1-    Se realizan 6 mesas de trabajo con el objetrivo de identificar el estado del proceso para la preparación hacia la auditoría externa con gestión humana, recursos físicos, documental, habitabilidad, inmobiliaria y social.   2-   No se han realizado mas auditorias puesto que el cargo estaba en vacancia hasta el 1 de Agosto, se realizo la Auditoria Externa de Calidad.   3-     Se realizarón mesas de trabajo con los lideres de proceso para (Funcionarios Nuevos) con el fin de adelantar actualización del SGC y Plan de mejoramiento</t>
  </si>
  <si>
    <t xml:space="preserve">1-    Durante el primer cuatrimestre de 2024, se evaluó el cumplimiento de los requisitos de oportunidad y materialidad en las respuestas del IDUVI a las peticiónes (PQRSDF) presentados por ciudadanos y entidades. Las comunicaciones se recibieron mayoritariamente por los siguientes medios:
• Correo electrónico: 647 solicitudes (67.6%)
• Ventanilla: 253 solicitudes (26.4%)
• Correo certificado: 57 solicitudes (6.0%)
En total, se gestionaron 957 PQRSDF, de las cuales 403 fueron atendidas de manera oportuna, y 433 se tramitaron, aunque no requerían respuesta (NRR). Esto representa un 87.5% de las solicitudes gestionadas (836 de 957).
Las principales áreas responsables de la atención fueron:
• Asuntos Jurídicos: 191 solicitudes (19.9%)
• Subgerencia de Desarrollo y Recursos Humanos: 145 solicitudes (15.1%)
• Área de Servicios Administrativos: 127 solicitudes (13.3%)    2-   Durante el segundo cuatrimestre de 2024, se evaluó el cumplimiento de los requisitos de oportunidad y materialidad en las respuestas del (IDUVI) a las (PQRSDF) presentadas por ciudadanos y entidades. Las comunicaciones se recibieron mayoritariamente por los siguientes medios:
• Correo electrónico: 948 solicitudes (66.8%)
• Ventanilla: 402 solicitudes (28.3%)
• Correo certificado: 68 solicitudes (4.8%)
En total, se gestionaron 1,418 PQRSDF, de las cuales 512 fueron atendidas de manera oportuna, y 558 se tramitaron aunque no requerían respuesta (NRR). Esto representa un 75.5% de las solicitudes gestionadas (1,070 de 1,418).
Las principales áreas responsables de la atención fueron:
• Asuntos Jurídicos: 284 solicitudes (20.0%)
• Vivienda y Hábitat: 175 solicitudes (12.3%)
• Área de Gestión Inmobiliaria: 171 solicitudes (12.1%)
• Área de Recursos Humanos: 145 solicitudes (10.2%)    3-     Para el tercer Cuatrimestre desde el proceso de Atención al ciudadano se ha presentado informes de seguimiento a la atención oportuna de las PQRS presentadas por usuarios y partes interesadas del IDUVI, verificando los tiempos de cumplimiento de cada uno. </t>
  </si>
  <si>
    <t>En los aplicativos de cada ente de control y en la página web de la Entidad</t>
  </si>
  <si>
    <t>Informes de auditoria, actas del comité institucional de coordinación de control interno</t>
  </si>
  <si>
    <t>planes de mejoramiento</t>
  </si>
  <si>
    <t>1-     Se reportan de acuerdo a las fechas establecidas por los entes de control, y se hace seguimiento mediante cronograma interno     2-        Se está dando cumplimiento a la presentación de informes      3-    Se evidencia que Se dio cumplimiento a la presentación de los informes requeridos por los entes de control durante la vigencia 2024</t>
  </si>
  <si>
    <t>1-     En la vigencia se han adelantado tres (3) auditorias internas    2-        Se encuentra en proceso la auditoria a Gestión Social      3-     Se evidencia un cumplimiento del 86% , Quedando pendiente una auditoria de las 7 programadas para la vigencia 2024</t>
  </si>
  <si>
    <t>1-     Se cerraron 10 de los 19 hallazgos del plan de mejoramiento vig. 2022. Y por parte de la Alcaldía Municipal se suscribio Plan de mejoramiento con 2 hallazgos a cargo del IDUVI     2-        El Plan de mejoramiento vig. 2022 se cerró con el cumplimiento de 10 hallazgos toda vez que correspondia a las metas del plan de desarrollo 2020-2023      3-     Se deben tener en cuenta las recomendaciones presentadas por los entes de control y las actividades propuestas para el mejoramiento de la gestión en la entidad.</t>
  </si>
  <si>
    <t>*Asesoria previa a la comunidad, para su postulación a los programas o proyectos de la Entidad</t>
  </si>
  <si>
    <t>Servidor IDUVI - Paneación
Plataforma SITESIGO</t>
  </si>
  <si>
    <t xml:space="preserve">Durante el primer semetre del 2024 se esta realizando la elaboración del nuevo plan de desarrollo, del PDM vigente se estan realizando ejecutando las metas 154,157,159,163 y 165. En las cuales se realizan la actividades de cuidado y conservación de los predios de importancia estrategica hidrica y ambiental , la administración de los bienes fiscales, la convocatoria de subsidios de mejoramiento de vivienda y de construcción en sitio propio, entre otras. 
2. Hasta el mes de julio de 2024 se continua con la ejecucion de 5 metas. En el mes de agosto de 2024 se realiza la armonizacion del presupuesto para la vigencia 2024 por lo cual a partir de este mes se da comienzo a la proyección de documentos requeridos para  contratacion estipulada en el PDM 2024-2027 en lo concerniente al IDUVI. Pasan a ser 11 metas para su seguimiento, control y cumplimiento en el PDM actual. 
3.  Durante el tercer cuatrimentre se evidencia que se realizó el seguimiento al cumplimiento de las metas del plan indicativo Informes SITESIGO, logrando cumplir 6 de las 11 metas  
</t>
  </si>
  <si>
    <t>1-     Durante el primer semetre del 2024 se esta realizando la elaboración del nuevo plan de desarrollo, del PDM vigente se estan realizando ejecutando las metas 154,157,159,163 y 165. En las cuales se realizan la actividades de cuidado y conservación de los predios de importancia estrategica hidrica y ambiental , la administración de los bienes fiscales, la convocatoria de subsidios de mejoramiento de vivienda y de construcción en sitio propio, entre otras.     2-        Hasta el mes de julio de 2024 se continua con la ejecucion de 5 metas. En el mes de agosto de 2024 se realiza la armonizacion del presupuesto para la vigencia 2024 por lo cual a partir de este mes se da comienzo a la proyección de documentos requeridos para  contratacion estipulada en el PDM 2024-2027 en lo concerniente al IDUVI. Pasan a ser 11 metas para su seguimiento, control y cumplimiento en el PDM actual.    3-     Se realizó seguimiento al avance de la eejecución de las 11 metas del Plan Indicativo, adelantando los informes  de avance se informan se presentarón los resultados a la gerencia y se cargan  en plataformas SITESIGO SPI, logrando cumplir 6.</t>
  </si>
  <si>
    <t xml:space="preserve">1.  Se responde el total de los oficios requeridos dado que para el término del cuatrimestre se da la terminación de la vinculación del provisional.
2.  Se responde el total de los oficios requeridos teniendo el cuenta el ingreso hasta el mes de agosto.
3.  Se responde el total de los oficios requeridos teniendo el cuenta el ingreso hasta el mes de agosto
</t>
  </si>
  <si>
    <t>carpeta compartida de la Subgerencia de Desarrollo / 2024 /MIGUEL FIERRO/SOPORTES GESTION OCTAVO MES/SOPORTES ADMINISTRATIVOS/SOPORTES ESPACIO</t>
  </si>
  <si>
    <t>1-     Se responde el total de los oficios requeridos dado que para el término del cuatrimestre se da la terminación de la vinculación del provisional  2-     Se responde el total de los oficios requeridos teniendo el cuenta el ingreso hasta el mes de agosto   3-      Se evidencia durante el seguimiento que se repondieron el total de las solicitudes con criterios enmarcados dentro de la normatividad vigente y actualizada</t>
  </si>
  <si>
    <t>Seguimiento al 30 de Abril de 2024</t>
  </si>
  <si>
    <t>Seguimiento al 31 de Agosto de 2024</t>
  </si>
  <si>
    <t>Seguimiento al 31 de Diciembre de 2024</t>
  </si>
  <si>
    <t>1.  Durante el cuatrimentre se suscribieron 11 contratos de los cuales ninguno a sido incumplido.
2.  Durante el cuatrimentre se suscribieron 8 contratos de los cuales ninguno a sido incumplido.</t>
  </si>
  <si>
    <t>Se observa que desde el area de talento humano se realizaró la socialización de las actividades del PETH, se evidencia control de asistencia</t>
  </si>
  <si>
    <t>Se evidencia en el seguimiento del 3 cuatrimestre que las acciones propuestas  se generarón de manera efectiva y eficiente ayudando a mitigar la posibilidad de ocurrencia</t>
  </si>
  <si>
    <t xml:space="preserve"> 1-   Bienes inventariados sbre el total de bienes existentes en el proceso de recursos fisicos        2-           Actualmente, no esta vinculado el profesional encargado de este proceso, sin embargo, al no haberse dado de baja ningún bien ya que este proceso se realiza finalizando cada año, el número de bienes inventariados coincide con el total de bienes existentes.          3-      Se evidencia que la entidad designó un profesional para  la actualización de los inventarios de le entidad; quien realizó la actividad de manera satisfactoria  </t>
  </si>
  <si>
    <t>se realiza inspeción de los muebles y equipos de iduvi para revisión su estado</t>
  </si>
  <si>
    <t>Actualmente, no esta vinculado el profesional encargado de este proceso, sin embargo, se ha acordado con la subgerente Administrativa solicitar el apoyo de un profesional para realizar este proceso durante este último cuatrimestre. De otro lado, se establece la misma cantidad de bienes debido a que todos los funcionarios actuales los tienen bajo su custodia.</t>
  </si>
  <si>
    <t>Se  Realizó seguimiento a los bienes y se verifica que se cuentan con los Bienes mucbles completos.</t>
  </si>
  <si>
    <t>DURANTE ESTE PERIODO SE ADELANTARON LAS EVALUACIONES DE LA DOCUMENTACION RADCADA POR LOS POSTULANTES AL SUBSIDIO DE VIVIENDA EN LAS DOS MODALIDADES.</t>
  </si>
  <si>
    <t>SE ASIGNARON LOS BENEFICIARIOS.  TODAS LOS POSTULANTES A LOS QUE SE LES ADJUDICO, CUMPLIERON CON LOS REQUISITOS ESTABLECIDOS EN LA RESOLUCION 32 DE 13 DE MARZO DE 2024.</t>
  </si>
  <si>
    <t xml:space="preserve">1.  Durante el periodo a reportar no se ha generado liquidación de compensación social. 
2.  En el periodo a reportar no se ha generado liquidación de compensación social, debido a que, en el predio que se realizó caracterización socioeconomica no aplica dicha compensación. Las demas acciones del área se han orientado al proceso de subsidios de mejoramiento de vivienda y construcción en sitio propio, así como a los proyectos de vivienda, tales como: Los Pinos, Plan Padrino y Villa Mercedes.
3.  En el periodo a reportar no se ha generado liquidación de compensación social, debido a que, los predios: La Italia, Descanso segundo, Torca II, RT1 Y RT2 de la A.V Pradilla no cumplen con lo establecido para aplicar dicha compensación.  </t>
  </si>
  <si>
    <t>1.  Mantenimeinto Predios Hidircos
2.  Se realiza el mantenimeinto de los  Predios Hidircos Altagracia, Peñas Blancas, Rincón Alpino y El Refugio, sin embargo no se presenta un plan de matenimiento. 
3 .  Mantenimiento predios de imortancia estategica hidrica y ambiental, admeas de mantenimiento de ordenan y aseo de auditorio Zea Mays, Villa Lucrecia y Casona Santa Rita</t>
  </si>
  <si>
    <t>1.  Para este seguimiento, se tuvo en cuenta que estuviera firmada la casilla de devolución de expedientes, lo que nos deja en evidencia que anteriormente no se llevaba un control estricto sobre el préstamo de expedientes. Lo anterior, puede repercutir en la pérdida de expedientes.
2.    En este seguimiento, se pudo evidenciar que en mayo y junio no se realizó un control estricto sobre el préstamo de expedientes, sin embargo, en arás de fortalecer ese proceso se actualizó el formato y se lleva un control más estricto del préstramo a partir del 8 julio, fecha en la cual se posesionó el funcionario de carrera. Sin embargo, se realizó una verificación y se evidenció la materialización del riesgo en cuanto a que el primer semestre no se hizo un control efectivo a este.
3.  Para este seguimiento, se realizó un total de cuatrocientos quince (415) préstamos de expedientes de los cuales se llevo registro y seguimiento hasta su devolución con el fin de garantizar la custodia de este,</t>
  </si>
  <si>
    <t>1.  Se realizaron 2 resoluciones de liquidación entre Enero y Abril que venían de meses anteriores
2.  Se realizaron 5 resoluciones de liquidación entre Mato y Agosto que vienen de meses anteriores, sin embargo solo se han solicitado 2 durante el periodo de tiempo
3.  Para  este periodo se evidencia que desde el proceso se realizarón las resoluciones de liquidación que vienen de meses anteriores y de este periodo donde se realizarón los controles establecidos mitigando el riesgo du rante este periodo de tiempo</t>
  </si>
  <si>
    <t>1.  82 predios Georeferenciados
2.  163 predios Georeferenciados
3.  148 predios Georeferenciados</t>
  </si>
  <si>
    <t xml:space="preserve">2.  LA META SE CUMPLE AL 100% DEBIDO A QUE LA PROYECCION SE LLEVO A CABO CON BASE EN EL PROMEDIO DE LOS ULTIMOS 4 AÑOS MAS UN INCREMENTO PARA EL AÑO EN CURSO DEL 10% OBTENIENDO UN VALOR DE 30%.  DEBIDO A LA SOCIALIZACION LLEVADO A CABO EN EL AÑO 2024 LAS SOLICITUDES SE INCREMENTARON.
3. SE SOBRE EJECUTA DEBIDO A LA PROYECCION SE LLEVO A CABO CON BASE EN EL PROMEDIO DE LOS ULTIMOS 4 AÑOS MAS UN INCREMENTO PARA EL AÑO EN CURSO DEL 10% OBTENIENDO UN VALOR DE 30%.  DEBIDO A LA SOCIALIZACION LLEVADO A CABO EN EL AÑO 2024 LAS SOLICITUDES SE INCREMENTARON. </t>
  </si>
  <si>
    <t>1.  EN ESTE MOMENTO ESTA EN PROCESO LA RESOLUCION 32 Y 136.
2.  A PESAR DE SOCIALIZAR LOS REQUISITOS PARA POSTULACION DE LOS DIFERENTES SUBSIDIOS, LOS CIUDADANOS (AS) RADICAN CON LA DOCUMENTACION INCOMPLETA.
3.  DURANTE EL CUATRIMESTRE SE EVIDENCIO QUE LA RESOLUCION DEBIA SER MAS ESPECIFICA, LOS FORMATOS MAS CLAROS Y CAPACITACION DEL PERSONAL DEL IDUVO PARA RECIBIR LOS DOCUMENTOS.</t>
  </si>
  <si>
    <t>1. Se realizan 6 mesas de trabajo con el objetrivo de identificar el estado del proceso para la preparación hacia la auditoría externa con gestión humana, recursos físicos, documental, habitabilidad, inmobiliaria y social.
2.  No se han realizado mas auditorias puesto que el cargo estaba en vacancia hasta el 1 de Agosto, se realizo la Auditoria Externa de Calidad.
3.   Se atendio la auditoria externa de recertificación ICONTEC, se realizarón mesas de trabajo con los responsables de proceso para adelantar plan de mejoramiento</t>
  </si>
  <si>
    <t>1. Durante el primer cuatrimestre de 2024, se evaluó el cumplimiento de los requisitos de oportunidad y materialidad en las respuestas del IDUVI a las peticiones (PQRSDF) presentados por ciudadanos y entidades. Las comunicaciones se recibieron mayoritariamente por los siguientes medios:
• Correo electrónico: 647 solicitudes (67.6%)
• Ventanilla: 253 solicitudes (26.4%)
• Correo certificado: 57 solicitudes (6.0%)
En total, se gestionaron 957 PQRSDF, de las cuales 403 fueron atendidas de manera oportuna, y 433 se tramitaron, aunque no requerían respuesta (NRR). Esto representa un 87.5% de las solicitudes gestionadas (836 de 957).
Las principales áreas responsables de la atención fueron:
• Asuntos Jurídicos: 191 solicitudes (19.9%)
• Subgerencia de Desarrollo y Recursos Humanos: 145 solicitudes (15.1%)
• Área de Servicios Administrativos: 127 solicitudes (13.3%) 
2. Durante el segundo cuatrimestre de 2024, se evaluó el cumplimiento de los requisitos de oportunidad y materialidad en las respuestas del (IDUVI) a las (PQRSDF) presentadas por ciudadanos y entidades. Las comunicaciones se recibieron mayoritariamente por los siguientes medios:
• Correo electrónico: 948 solicitudes (66.8%)
• Ventanilla: 402 solicitudes (28.3%)
• Correo certificado: 68 solicitudes (4.8%)
En total, se gestionaron 1,418 PQRSDF, de las cuales 512 fueron atendidas de manera oportuna, y 558 se tramitaron aunque no requerían respuesta (NRR). Esto representa un 75.5% de las solicitudes gestionadas (1,070 de 1,418).
Las principales áreas responsables de la atención fueron:
• Asuntos Jurídicos: 284 solicitudes (20.0%)
• Vivienda y Hábitat: 175 solicitudes (12.3%)
• Área de Gestión Inmobiliaria: 171 solicitudes (12.1%)
• Área de Recursos Humanos: 145 solicitudes (10.2%) 
3.  PQRSDF (Peticiones, Quejas, Reclamos, Sugerencias y Denuncias) presentadas por ciudadanos y entidades. Las comunicaciones se recibieron mayoritariamente a través de los siguientes medios:
Correo electrónico: 935 solicitudes (66.31%)
Ventanilla: 461 solicitudes (32.70%)
Página web: 14 solicitudes (0.99%)
En total, se gestionaron 1,410 PQRSDF, de las cuales:
566 fueron atendidas de manera oportuna (40.14% del total).
665 se tramitaron aunque no requerían respuesta (NRR) (47.16% del total).
105 solicitudes fueron respondidas extemporáneamente (7.45% del total).</t>
  </si>
  <si>
    <t>1.  Se reportan de acuerdo a las fechas establecidas por los entes de control, y se hace seguimiento mediante cronograma interno 
2.  Se está dando cumplimiento a la presentación de informes
3.  Se dio cumplimiento a la presentación de los informes requeridos por los entes de control</t>
  </si>
  <si>
    <t>1.  En la vigencia se han adelantado tres (3) auditorias internas
2.  Se encuentra en proceso la auditoria a Gestión Social
3.  Quedó pendiente una auditoria de las 7 programadas para la vigencia 2024</t>
  </si>
  <si>
    <t>1.  Se cerraron 10 de los 19 hallazgos del plan de mejoramiento vig. 2022. Y por parte de la Alcaldía Municipal se suscribio Plan de mejoramiento con 2 hallazgos a cargo del IDUVI 
2.  El Plan de mejoramiento vig. 2022 se cerró con el cumplimiento de 10 hallazgos toda vez que correspondia a las metas del plan de desarrollo 2020-2023.
3.  Se deben tener en cuenta las recomendaciones presentadas por los entes de control y las actividades propuestas para el mejoramiento de la gestión en la entidad.</t>
  </si>
  <si>
    <t>Se realiza la proyección de 11 procesos contractuales, de los cuales se han publicado 8 por contratación directa y 1 por invitación pública. 2. a fecha de hoy estan en curso 16 procesos judiciales en los diferentes despachos judiciales los estados a la fecha se encuentran al dia
3. a fecha de hoy estan en curso 14 procesos judiciales en los diferentes despachos judiciales los estados a la fecha se encuentran al dia</t>
  </si>
  <si>
    <t>1.  No hubp adqusición de predios
2.  No hubp adqusición de predios
3.  Para esta vigencia se cumple con el objetivo porpuesto de adquisicion de dos predios enominados "torca 2" y "la iItalia" cumpliendo asi con el objetivo propuesto</t>
  </si>
  <si>
    <t>Carpeta en físico archivo de gestión Juridica 2024.</t>
  </si>
  <si>
    <t xml:space="preserve"> 1.  De los 16 contratos establecidos en el paa se celebraron 6 contratos ya que los restantes se celebraran en el siguiente cuatrimestre.
2.   Se suscribio una mayor cantidad de contratos a los previstos en este periodo atendiendo a que el periodo anteriorno se habia celebrado la cantidad prevista. </t>
  </si>
  <si>
    <t>1. La Entidad  presenta una baja ejecucion de acuerdo a los lineamisntos entregados por la Secretaria de hacienda debido al proceso de Armonizacion presupuestal,
2. Proceso de Armonización, inicio de ejecución Plan de Desarrollo 2024-2027.
3. Pese a dar las advertencias pertinentes frente a la ejecucion contractual no se alcanzo a ejecutar el total del presupuesto por parte de las sub Direcciones  y oficinas asesoras.</t>
  </si>
  <si>
    <t>Aplicativo Gestión Financiera</t>
  </si>
  <si>
    <t>1. total de Cuentas a conformidad
2.   total de Cuentas a conformidad
3.   total de Cuentas a conformidad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</si>
</sst>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58"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1"/>
      <color rgb="FFFF0000"/>
      <name val="Calibri"/>
      <family val="2"/>
      <scheme val="minor"/>
    </font>
    <font>
      <sz val="10"/>
      <name val="Arial"/>
      <family val="2"/>
    </font>
    <font>
      <sz val="10"/>
      <color rgb="FF000000"/>
      <name val="Arial"/>
      <family val="2"/>
    </font>
    <font>
      <sz val="8"/>
      <name val="Calibri"/>
      <family val="2"/>
      <scheme val="minor"/>
    </font>
    <font>
      <b/>
      <sz val="11"/>
      <color rgb="FF000000"/>
      <name val="Arial"/>
      <family val="2"/>
    </font>
    <font>
      <b/>
      <sz val="12"/>
      <color rgb="FF000000"/>
      <name val="Arial"/>
      <family val="2"/>
    </font>
    <font>
      <b/>
      <sz val="12"/>
      <name val="Arial"/>
      <family val="2"/>
    </font>
    <font>
      <sz val="12"/>
      <name val="Arial"/>
      <family val="2"/>
    </font>
    <font>
      <sz val="12"/>
      <color rgb="FF000000"/>
      <name val="Arial"/>
      <family val="2"/>
    </font>
    <font>
      <b/>
      <sz val="18"/>
      <name val="Calibri"/>
      <family val="2"/>
    </font>
    <font>
      <b/>
      <sz val="11"/>
      <color theme="1"/>
      <name val="Arial Narrow"/>
      <family val="2"/>
    </font>
    <font>
      <b/>
      <sz val="12"/>
      <color theme="1"/>
      <name val="Arial"/>
      <family val="2"/>
    </font>
    <font>
      <sz val="12"/>
      <color theme="1"/>
      <name val="Arial"/>
      <family val="2"/>
    </font>
    <font>
      <sz val="11"/>
      <color theme="1"/>
      <name val="Arial Narrow"/>
      <family val="2"/>
    </font>
    <font>
      <b/>
      <sz val="16"/>
      <color theme="1"/>
      <name val="Arial Narrow"/>
      <family val="2"/>
    </font>
    <font>
      <sz val="12"/>
      <color theme="1"/>
      <name val="Arial Narrow"/>
      <family val="2"/>
    </font>
    <font>
      <b/>
      <sz val="12"/>
      <color theme="1"/>
      <name val="Arial Narrow"/>
      <family val="2"/>
    </font>
    <font>
      <sz val="12"/>
      <name val="Arial Narrow"/>
      <family val="2"/>
    </font>
    <font>
      <b/>
      <sz val="26"/>
      <color theme="1"/>
      <name val="Arial Narrow"/>
      <family val="2"/>
    </font>
    <font>
      <b/>
      <sz val="12"/>
      <name val="Arial Narrow"/>
      <family val="2"/>
    </font>
    <font>
      <b/>
      <sz val="12"/>
      <color rgb="FFFF0000"/>
      <name val="Arial Narrow"/>
      <family val="2"/>
    </font>
    <font>
      <sz val="12"/>
      <color rgb="FFFF0000"/>
      <name val="Arial Narrow"/>
      <family val="2"/>
    </font>
    <font>
      <b/>
      <u/>
      <sz val="12"/>
      <color theme="1"/>
      <name val="Arial Narrow"/>
      <family val="2"/>
    </font>
    <font>
      <sz val="12"/>
      <color rgb="FFFF0000"/>
      <name val="Calibri"/>
      <family val="2"/>
      <scheme val="minor"/>
    </font>
    <font>
      <b/>
      <sz val="26"/>
      <color theme="1"/>
      <name val="Arial"/>
      <family val="2"/>
    </font>
    <font>
      <b/>
      <sz val="22"/>
      <color theme="1"/>
      <name val="Arial Narrow"/>
      <family val="2"/>
    </font>
    <font>
      <b/>
      <sz val="14"/>
      <color theme="1"/>
      <name val="Arial Narrow"/>
      <family val="2"/>
    </font>
    <font>
      <sz val="14"/>
      <color theme="1"/>
      <name val="Arial Narrow"/>
      <family val="2"/>
    </font>
    <font>
      <b/>
      <sz val="13"/>
      <color indexed="81"/>
      <name val="Tahoma"/>
      <family val="2"/>
    </font>
    <font>
      <sz val="13"/>
      <color indexed="81"/>
      <name val="Tahoma"/>
      <family val="2"/>
    </font>
    <font>
      <sz val="11"/>
      <color theme="1"/>
      <name val="Gill Sans MT"/>
      <family val="2"/>
    </font>
    <font>
      <b/>
      <sz val="11"/>
      <name val="Arial Narrow"/>
      <family val="2"/>
    </font>
    <font>
      <sz val="11"/>
      <name val="Arial Narrow"/>
      <family val="2"/>
    </font>
    <font>
      <sz val="11"/>
      <color rgb="FF000000"/>
      <name val="Arial Narrow"/>
      <family val="2"/>
    </font>
    <font>
      <sz val="11"/>
      <color rgb="FFFFFFFF"/>
      <name val="Arial Narrow"/>
      <family val="2"/>
    </font>
    <font>
      <b/>
      <sz val="11"/>
      <color rgb="FF000000"/>
      <name val="Arial Narrow"/>
      <family val="2"/>
    </font>
    <font>
      <b/>
      <sz val="11"/>
      <color rgb="FFFFFFFF"/>
      <name val="Arial Narrow"/>
      <family val="2"/>
    </font>
    <font>
      <sz val="9"/>
      <color indexed="81"/>
      <name val="Tahoma"/>
      <family val="2"/>
    </font>
    <font>
      <b/>
      <sz val="9"/>
      <color indexed="81"/>
      <name val="Tahoma"/>
      <family val="2"/>
    </font>
    <font>
      <sz val="11"/>
      <name val="Gill Sans MT"/>
      <family val="2"/>
    </font>
    <font>
      <sz val="10"/>
      <name val="Calibri"/>
      <family val="2"/>
      <scheme val="minor"/>
    </font>
    <font>
      <sz val="12"/>
      <name val="Calibri"/>
      <family val="2"/>
      <scheme val="minor"/>
    </font>
    <font>
      <b/>
      <sz val="12"/>
      <name val="Calibri"/>
      <family val="2"/>
      <scheme val="minor"/>
    </font>
    <font>
      <b/>
      <sz val="18"/>
      <name val="Arial Narrow"/>
      <family val="2"/>
    </font>
    <font>
      <sz val="18"/>
      <name val="Arial Narrow"/>
      <family val="2"/>
    </font>
    <font>
      <sz val="18"/>
      <color rgb="FF000000"/>
      <name val="Arial Narrow"/>
      <family val="2"/>
    </font>
    <font>
      <b/>
      <sz val="18"/>
      <color theme="1"/>
      <name val="Arial Narrow"/>
      <family val="2"/>
    </font>
    <font>
      <sz val="16"/>
      <color theme="1"/>
      <name val="Arial"/>
      <family val="2"/>
    </font>
    <font>
      <sz val="14"/>
      <color theme="1"/>
      <name val="Arial"/>
      <family val="2"/>
    </font>
    <font>
      <u/>
      <sz val="12"/>
      <color theme="4"/>
      <name val="Arial Narrow"/>
      <family val="2"/>
    </font>
    <font>
      <sz val="9"/>
      <color theme="1"/>
      <name val="Arial Narrow"/>
      <family val="2"/>
    </font>
    <font>
      <sz val="10"/>
      <name val="Arial Narrow"/>
      <family val="2"/>
    </font>
    <font>
      <u/>
      <sz val="11"/>
      <color theme="10"/>
      <name val="Calibri"/>
      <family val="2"/>
      <scheme val="minor"/>
    </font>
    <font>
      <sz val="10"/>
      <color theme="1"/>
      <name val="Arial Narrow"/>
      <family val="2"/>
    </font>
  </fonts>
  <fills count="39">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00B050"/>
        <bgColor indexed="64"/>
      </patternFill>
    </fill>
    <fill>
      <patternFill patternType="solid">
        <fgColor rgb="FFFF9933"/>
        <bgColor indexed="64"/>
      </patternFill>
    </fill>
    <fill>
      <patternFill patternType="solid">
        <fgColor rgb="FFFF0000"/>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1"/>
        <bgColor indexed="64"/>
      </patternFill>
    </fill>
    <fill>
      <patternFill patternType="solid">
        <fgColor theme="5"/>
        <bgColor indexed="64"/>
      </patternFill>
    </fill>
    <fill>
      <patternFill patternType="solid">
        <fgColor rgb="FFCCFF33"/>
        <bgColor indexed="64"/>
      </patternFill>
    </fill>
    <fill>
      <patternFill patternType="solid">
        <fgColor rgb="FF00B0F0"/>
        <bgColor indexed="64"/>
      </patternFill>
    </fill>
    <fill>
      <patternFill patternType="solid">
        <fgColor theme="4" tint="0.39997558519241921"/>
        <bgColor indexed="64"/>
      </patternFill>
    </fill>
    <fill>
      <patternFill patternType="solid">
        <fgColor indexed="9"/>
        <bgColor indexed="64"/>
      </patternFill>
    </fill>
    <fill>
      <patternFill patternType="solid">
        <fgColor rgb="FFFF6600"/>
        <bgColor indexed="64"/>
      </patternFill>
    </fill>
    <fill>
      <patternFill patternType="solid">
        <fgColor rgb="FFFFFF66"/>
        <bgColor indexed="64"/>
      </patternFill>
    </fill>
    <fill>
      <patternFill patternType="solid">
        <fgColor rgb="FFCCFF66"/>
        <bgColor indexed="64"/>
      </patternFill>
    </fill>
    <fill>
      <patternFill patternType="solid">
        <fgColor rgb="FFFFC000"/>
        <bgColor indexed="64"/>
      </patternFill>
    </fill>
    <fill>
      <patternFill patternType="solid">
        <fgColor rgb="FFF9ED07"/>
        <bgColor indexed="64"/>
      </patternFill>
    </fill>
    <fill>
      <patternFill patternType="solid">
        <fgColor rgb="FFBFBFBF"/>
        <bgColor indexed="64"/>
      </patternFill>
    </fill>
    <fill>
      <patternFill patternType="solid">
        <fgColor theme="2"/>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999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FF2D2D"/>
        <bgColor indexed="64"/>
      </patternFill>
    </fill>
    <fill>
      <patternFill patternType="solid">
        <fgColor theme="3"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9" fontId="1" fillId="0" borderId="0" applyFont="0" applyFill="0" applyBorder="0" applyAlignment="0" applyProtection="0"/>
    <xf numFmtId="43" fontId="1" fillId="0" borderId="0" applyFont="0" applyFill="0" applyBorder="0" applyAlignment="0" applyProtection="0"/>
    <xf numFmtId="0" fontId="5" fillId="0" borderId="0"/>
    <xf numFmtId="0" fontId="56" fillId="0" borderId="0" applyNumberFormat="0" applyFill="0" applyBorder="0" applyAlignment="0" applyProtection="0"/>
  </cellStyleXfs>
  <cellXfs count="743">
    <xf numFmtId="0" fontId="0" fillId="0" borderId="0" xfId="0"/>
    <xf numFmtId="0" fontId="0" fillId="7" borderId="0" xfId="0" applyFill="1" applyAlignment="1">
      <alignment horizontal="center" vertical="center"/>
    </xf>
    <xf numFmtId="0" fontId="0" fillId="7" borderId="0" xfId="0" applyFill="1"/>
    <xf numFmtId="0" fontId="0" fillId="7" borderId="0" xfId="0" applyFill="1" applyAlignment="1">
      <alignment wrapText="1"/>
    </xf>
    <xf numFmtId="0" fontId="0" fillId="7" borderId="1" xfId="0" applyFill="1" applyBorder="1" applyAlignment="1">
      <alignment horizontal="center" vertical="center"/>
    </xf>
    <xf numFmtId="9" fontId="0" fillId="0" borderId="19" xfId="0" applyNumberFormat="1" applyBorder="1" applyAlignment="1">
      <alignment horizontal="center" vertical="center"/>
    </xf>
    <xf numFmtId="0" fontId="0" fillId="0" borderId="17" xfId="0" applyBorder="1" applyAlignment="1">
      <alignment horizontal="center" vertical="center" wrapText="1"/>
    </xf>
    <xf numFmtId="0" fontId="2" fillId="12" borderId="2" xfId="0" applyFont="1" applyFill="1" applyBorder="1" applyAlignment="1">
      <alignment horizontal="center" vertical="center" wrapText="1"/>
    </xf>
    <xf numFmtId="0" fontId="2" fillId="12" borderId="27" xfId="0" applyFont="1" applyFill="1" applyBorder="1" applyAlignment="1">
      <alignment horizontal="center" vertical="center" wrapText="1"/>
    </xf>
    <xf numFmtId="0" fontId="2" fillId="12" borderId="11" xfId="0" applyFont="1" applyFill="1" applyBorder="1" applyAlignment="1">
      <alignment horizontal="center" vertical="center" wrapText="1"/>
    </xf>
    <xf numFmtId="0" fontId="2" fillId="12" borderId="28" xfId="0" applyFont="1" applyFill="1" applyBorder="1" applyAlignment="1">
      <alignment horizontal="center" vertical="center" wrapText="1"/>
    </xf>
    <xf numFmtId="0" fontId="3" fillId="7" borderId="0" xfId="0" applyFont="1" applyFill="1" applyAlignment="1">
      <alignment horizontal="center" vertical="center"/>
    </xf>
    <xf numFmtId="0" fontId="0" fillId="7" borderId="20" xfId="0" applyFill="1" applyBorder="1" applyAlignment="1">
      <alignment horizontal="center" vertical="center"/>
    </xf>
    <xf numFmtId="0" fontId="0" fillId="7" borderId="22" xfId="0" applyFill="1" applyBorder="1" applyAlignment="1">
      <alignment horizontal="center" vertical="center"/>
    </xf>
    <xf numFmtId="0" fontId="5" fillId="6" borderId="39" xfId="0" applyFont="1" applyFill="1" applyBorder="1" applyAlignment="1">
      <alignment horizontal="center" vertical="center" wrapText="1" readingOrder="1"/>
    </xf>
    <xf numFmtId="0" fontId="6" fillId="16" borderId="39" xfId="0" applyFont="1" applyFill="1" applyBorder="1" applyAlignment="1">
      <alignment horizontal="center" vertical="center" wrapText="1" readingOrder="1"/>
    </xf>
    <xf numFmtId="0" fontId="6" fillId="17" borderId="39" xfId="0" applyFont="1" applyFill="1" applyBorder="1" applyAlignment="1">
      <alignment horizontal="center" vertical="center" wrapText="1" readingOrder="1"/>
    </xf>
    <xf numFmtId="0" fontId="6" fillId="2" borderId="39" xfId="0" applyFont="1" applyFill="1" applyBorder="1" applyAlignment="1">
      <alignment horizontal="center" vertical="center" wrapText="1" readingOrder="1"/>
    </xf>
    <xf numFmtId="0" fontId="12" fillId="16" borderId="1" xfId="0" applyFont="1" applyFill="1" applyBorder="1" applyAlignment="1">
      <alignment horizontal="center" vertical="center" wrapText="1" readingOrder="1"/>
    </xf>
    <xf numFmtId="0" fontId="11" fillId="6" borderId="21" xfId="0" applyFont="1" applyFill="1" applyBorder="1" applyAlignment="1">
      <alignment horizontal="center" vertical="center" wrapText="1" readingOrder="1"/>
    </xf>
    <xf numFmtId="0" fontId="12" fillId="2" borderId="23" xfId="0" applyFont="1" applyFill="1" applyBorder="1" applyAlignment="1">
      <alignment horizontal="center" vertical="center" wrapText="1" readingOrder="1"/>
    </xf>
    <xf numFmtId="0" fontId="12" fillId="16" borderId="23" xfId="0" applyFont="1" applyFill="1" applyBorder="1" applyAlignment="1">
      <alignment horizontal="center" vertical="center" wrapText="1" readingOrder="1"/>
    </xf>
    <xf numFmtId="0" fontId="11" fillId="6" borderId="24" xfId="0" applyFont="1" applyFill="1" applyBorder="1" applyAlignment="1">
      <alignment horizontal="center" vertical="center" wrapText="1" readingOrder="1"/>
    </xf>
    <xf numFmtId="0" fontId="13" fillId="7" borderId="0" xfId="0" applyFont="1" applyFill="1" applyAlignment="1">
      <alignment horizontal="center" vertical="center" wrapText="1" readingOrder="1"/>
    </xf>
    <xf numFmtId="0" fontId="2" fillId="7" borderId="0" xfId="0" applyFont="1" applyFill="1" applyAlignment="1">
      <alignment horizontal="center" vertical="top"/>
    </xf>
    <xf numFmtId="0" fontId="4" fillId="7" borderId="0" xfId="0" applyFont="1" applyFill="1"/>
    <xf numFmtId="9" fontId="16" fillId="7" borderId="18" xfId="1" applyFont="1" applyFill="1" applyBorder="1" applyAlignment="1">
      <alignment horizontal="center" vertical="center"/>
    </xf>
    <xf numFmtId="9" fontId="16" fillId="7" borderId="1" xfId="1" applyFont="1" applyFill="1" applyBorder="1" applyAlignment="1">
      <alignment horizontal="center" vertical="center"/>
    </xf>
    <xf numFmtId="0" fontId="0" fillId="7" borderId="25" xfId="0" applyFill="1" applyBorder="1" applyAlignment="1">
      <alignment horizontal="center" vertical="center" wrapText="1"/>
    </xf>
    <xf numFmtId="0" fontId="0" fillId="7" borderId="20" xfId="0" applyFill="1" applyBorder="1" applyAlignment="1">
      <alignment horizontal="center" vertical="center" wrapText="1"/>
    </xf>
    <xf numFmtId="9" fontId="0" fillId="7" borderId="21" xfId="0" applyNumberFormat="1" applyFill="1" applyBorder="1" applyAlignment="1">
      <alignment horizontal="center" vertical="center"/>
    </xf>
    <xf numFmtId="0" fontId="0" fillId="7" borderId="26" xfId="0" applyFill="1" applyBorder="1" applyAlignment="1">
      <alignment horizontal="center" vertical="center" wrapText="1"/>
    </xf>
    <xf numFmtId="0" fontId="0" fillId="7" borderId="22" xfId="0" applyFill="1" applyBorder="1" applyAlignment="1">
      <alignment horizontal="center" vertical="center" wrapText="1"/>
    </xf>
    <xf numFmtId="0" fontId="0" fillId="7" borderId="23" xfId="0" applyFill="1" applyBorder="1" applyAlignment="1">
      <alignment horizontal="center" vertical="center"/>
    </xf>
    <xf numFmtId="9" fontId="0" fillId="7" borderId="24" xfId="0" applyNumberFormat="1" applyFill="1" applyBorder="1" applyAlignment="1">
      <alignment horizontal="center" vertical="center"/>
    </xf>
    <xf numFmtId="0" fontId="0" fillId="7" borderId="0" xfId="0" applyFill="1" applyAlignment="1">
      <alignment vertical="center" wrapText="1"/>
    </xf>
    <xf numFmtId="0" fontId="0" fillId="7" borderId="0" xfId="0" applyFill="1" applyAlignment="1">
      <alignment horizontal="left"/>
    </xf>
    <xf numFmtId="0" fontId="0" fillId="7" borderId="30" xfId="0" applyFill="1" applyBorder="1" applyAlignment="1">
      <alignment horizontal="center" vertical="center" wrapText="1"/>
    </xf>
    <xf numFmtId="0" fontId="0" fillId="7" borderId="17" xfId="0" applyFill="1" applyBorder="1" applyAlignment="1">
      <alignment horizontal="center" vertical="center" wrapText="1"/>
    </xf>
    <xf numFmtId="0" fontId="0" fillId="7" borderId="18" xfId="0" applyFill="1" applyBorder="1" applyAlignment="1">
      <alignment horizontal="center" vertical="center"/>
    </xf>
    <xf numFmtId="9" fontId="0" fillId="7" borderId="19" xfId="0" applyNumberFormat="1" applyFill="1" applyBorder="1" applyAlignment="1">
      <alignment horizontal="center" vertical="center"/>
    </xf>
    <xf numFmtId="0" fontId="12" fillId="3" borderId="1" xfId="0" applyFont="1" applyFill="1" applyBorder="1" applyAlignment="1">
      <alignment horizontal="center" vertical="center" wrapText="1" readingOrder="1"/>
    </xf>
    <xf numFmtId="0" fontId="12" fillId="3" borderId="23" xfId="0" applyFont="1" applyFill="1" applyBorder="1" applyAlignment="1">
      <alignment horizontal="center" vertical="center" wrapText="1" readingOrder="1"/>
    </xf>
    <xf numFmtId="0" fontId="17" fillId="7" borderId="0" xfId="0" applyFont="1" applyFill="1"/>
    <xf numFmtId="0" fontId="17" fillId="7" borderId="0" xfId="0" applyFont="1" applyFill="1" applyAlignment="1">
      <alignment horizontal="center" vertical="center"/>
    </xf>
    <xf numFmtId="2" fontId="17" fillId="7" borderId="0" xfId="0" applyNumberFormat="1" applyFont="1" applyFill="1"/>
    <xf numFmtId="0" fontId="14" fillId="7" borderId="0" xfId="0" applyFont="1" applyFill="1" applyAlignment="1">
      <alignment horizontal="center" vertical="center"/>
    </xf>
    <xf numFmtId="9" fontId="17" fillId="7" borderId="0" xfId="1" applyFont="1" applyFill="1" applyBorder="1" applyAlignment="1">
      <alignment horizontal="center" vertical="center"/>
    </xf>
    <xf numFmtId="9" fontId="17" fillId="7" borderId="0" xfId="0" applyNumberFormat="1" applyFont="1" applyFill="1" applyAlignment="1">
      <alignment horizontal="center" vertical="center"/>
    </xf>
    <xf numFmtId="2" fontId="17" fillId="7" borderId="0" xfId="2" applyNumberFormat="1" applyFont="1" applyFill="1" applyBorder="1" applyAlignment="1">
      <alignment horizontal="center" vertical="center"/>
    </xf>
    <xf numFmtId="0" fontId="19" fillId="7" borderId="0" xfId="0" applyFont="1" applyFill="1"/>
    <xf numFmtId="0" fontId="19" fillId="7" borderId="0" xfId="0" applyFont="1" applyFill="1" applyAlignment="1">
      <alignment horizontal="center" vertical="center"/>
    </xf>
    <xf numFmtId="0" fontId="21" fillId="7" borderId="0" xfId="0" applyFont="1" applyFill="1" applyAlignment="1">
      <alignment horizontal="center" vertical="center"/>
    </xf>
    <xf numFmtId="0" fontId="19" fillId="7" borderId="0" xfId="0" applyFont="1" applyFill="1" applyAlignment="1">
      <alignment horizontal="center" vertical="center" wrapText="1"/>
    </xf>
    <xf numFmtId="0" fontId="19" fillId="0" borderId="18" xfId="0" applyFont="1" applyBorder="1" applyAlignment="1">
      <alignment horizontal="center" vertical="center" wrapText="1"/>
    </xf>
    <xf numFmtId="9" fontId="19" fillId="7" borderId="18" xfId="1" applyFont="1" applyFill="1" applyBorder="1" applyAlignment="1">
      <alignment horizontal="center" vertical="center"/>
    </xf>
    <xf numFmtId="0" fontId="19" fillId="0" borderId="18" xfId="0" applyFont="1" applyBorder="1" applyAlignment="1">
      <alignment horizontal="center" vertical="center"/>
    </xf>
    <xf numFmtId="0" fontId="19" fillId="7" borderId="18" xfId="0" applyFont="1" applyFill="1" applyBorder="1" applyAlignment="1">
      <alignment horizontal="center" vertical="center"/>
    </xf>
    <xf numFmtId="0" fontId="19" fillId="7" borderId="18" xfId="0" applyFont="1" applyFill="1" applyBorder="1" applyAlignment="1">
      <alignment horizontal="justify" vertical="center"/>
    </xf>
    <xf numFmtId="0" fontId="19" fillId="7" borderId="18" xfId="0" applyFont="1" applyFill="1" applyBorder="1" applyAlignment="1">
      <alignment horizontal="center" vertical="center" wrapText="1"/>
    </xf>
    <xf numFmtId="9" fontId="19" fillId="7" borderId="18" xfId="1"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9" fontId="19" fillId="7" borderId="1" xfId="1" applyFont="1" applyFill="1" applyBorder="1" applyAlignment="1">
      <alignment horizontal="center" vertical="center"/>
    </xf>
    <xf numFmtId="0" fontId="19" fillId="7" borderId="1" xfId="0" applyFont="1" applyFill="1" applyBorder="1" applyAlignment="1">
      <alignment horizontal="center" vertical="center"/>
    </xf>
    <xf numFmtId="9" fontId="19" fillId="7" borderId="1" xfId="1" applyFont="1" applyFill="1" applyBorder="1" applyAlignment="1">
      <alignment horizontal="center" vertical="center" wrapText="1"/>
    </xf>
    <xf numFmtId="0" fontId="19" fillId="0" borderId="23" xfId="0" applyFont="1" applyBorder="1" applyAlignment="1">
      <alignment horizontal="center" vertical="center"/>
    </xf>
    <xf numFmtId="0" fontId="19" fillId="7" borderId="23" xfId="0" applyFont="1" applyFill="1" applyBorder="1" applyAlignment="1">
      <alignment horizontal="center" vertical="center"/>
    </xf>
    <xf numFmtId="0" fontId="19" fillId="7" borderId="19" xfId="0" applyFont="1" applyFill="1" applyBorder="1" applyAlignment="1">
      <alignment horizontal="center" vertical="center" wrapText="1"/>
    </xf>
    <xf numFmtId="0" fontId="17" fillId="0" borderId="18" xfId="0" applyFont="1" applyBorder="1" applyAlignment="1">
      <alignment horizontal="center" vertical="center"/>
    </xf>
    <xf numFmtId="0" fontId="23" fillId="3" borderId="1" xfId="0" applyFont="1" applyFill="1" applyBorder="1" applyAlignment="1">
      <alignment horizontal="center" vertical="center"/>
    </xf>
    <xf numFmtId="0" fontId="20" fillId="7" borderId="1" xfId="0" applyFont="1" applyFill="1" applyBorder="1" applyAlignment="1">
      <alignment horizontal="center" vertical="center"/>
    </xf>
    <xf numFmtId="0" fontId="19" fillId="7" borderId="1" xfId="0" applyFont="1" applyFill="1" applyBorder="1" applyAlignment="1">
      <alignment horizontal="center" vertical="center" wrapText="1"/>
    </xf>
    <xf numFmtId="0" fontId="19" fillId="7" borderId="0" xfId="0" applyFont="1" applyFill="1" applyAlignment="1">
      <alignment wrapText="1"/>
    </xf>
    <xf numFmtId="0" fontId="20" fillId="3" borderId="1" xfId="0" applyFont="1" applyFill="1" applyBorder="1" applyAlignment="1">
      <alignment horizontal="center" vertical="center"/>
    </xf>
    <xf numFmtId="0" fontId="24" fillId="9" borderId="14" xfId="0" applyFont="1" applyFill="1" applyBorder="1" applyAlignment="1">
      <alignment horizontal="center" wrapText="1"/>
    </xf>
    <xf numFmtId="0" fontId="20" fillId="9" borderId="12" xfId="0" applyFont="1" applyFill="1" applyBorder="1"/>
    <xf numFmtId="0" fontId="20" fillId="9" borderId="12" xfId="0" applyFont="1" applyFill="1" applyBorder="1" applyAlignment="1">
      <alignment horizontal="center" vertical="center"/>
    </xf>
    <xf numFmtId="0" fontId="20" fillId="9" borderId="13" xfId="0" applyFont="1" applyFill="1" applyBorder="1" applyAlignment="1">
      <alignment horizontal="center" vertical="center"/>
    </xf>
    <xf numFmtId="0" fontId="19" fillId="0" borderId="17" xfId="0" applyFont="1" applyBorder="1" applyAlignment="1">
      <alignment wrapText="1"/>
    </xf>
    <xf numFmtId="0" fontId="19" fillId="6" borderId="18" xfId="0" applyFont="1" applyFill="1" applyBorder="1" applyAlignment="1">
      <alignment horizontal="center" vertical="center"/>
    </xf>
    <xf numFmtId="0" fontId="19" fillId="9" borderId="19" xfId="0" applyFont="1" applyFill="1" applyBorder="1" applyAlignment="1">
      <alignment horizontal="center" vertical="center"/>
    </xf>
    <xf numFmtId="0" fontId="19" fillId="0" borderId="20" xfId="0" applyFont="1" applyBorder="1" applyAlignment="1">
      <alignment wrapText="1"/>
    </xf>
    <xf numFmtId="0" fontId="19" fillId="6" borderId="1" xfId="0" applyFont="1" applyFill="1" applyBorder="1" applyAlignment="1">
      <alignment horizontal="center" vertical="center"/>
    </xf>
    <xf numFmtId="0" fontId="19" fillId="9" borderId="21" xfId="0" applyFont="1" applyFill="1" applyBorder="1" applyAlignment="1">
      <alignment horizontal="center" vertical="center"/>
    </xf>
    <xf numFmtId="0" fontId="19" fillId="5" borderId="1" xfId="0" applyFont="1" applyFill="1" applyBorder="1" applyAlignment="1">
      <alignment horizontal="center" vertical="center"/>
    </xf>
    <xf numFmtId="0" fontId="20" fillId="7" borderId="0" xfId="0" applyFont="1" applyFill="1" applyAlignment="1">
      <alignment horizontal="center" vertical="center"/>
    </xf>
    <xf numFmtId="0" fontId="19" fillId="3" borderId="1" xfId="0" applyFont="1" applyFill="1" applyBorder="1" applyAlignment="1">
      <alignment horizontal="center" vertical="center"/>
    </xf>
    <xf numFmtId="0" fontId="19" fillId="4" borderId="1" xfId="0" applyFont="1" applyFill="1" applyBorder="1" applyAlignment="1">
      <alignment horizontal="center" vertical="center"/>
    </xf>
    <xf numFmtId="0" fontId="19" fillId="2" borderId="1" xfId="0" applyFont="1" applyFill="1" applyBorder="1" applyAlignment="1">
      <alignment horizontal="center" vertical="center"/>
    </xf>
    <xf numFmtId="0" fontId="19" fillId="0" borderId="22" xfId="0" applyFont="1" applyBorder="1" applyAlignment="1">
      <alignment wrapText="1"/>
    </xf>
    <xf numFmtId="0" fontId="19" fillId="2" borderId="23" xfId="0" applyFont="1" applyFill="1" applyBorder="1" applyAlignment="1">
      <alignment horizontal="center" vertical="center"/>
    </xf>
    <xf numFmtId="0" fontId="19" fillId="9" borderId="24" xfId="0" applyFont="1" applyFill="1" applyBorder="1" applyAlignment="1">
      <alignment horizontal="center" vertical="center"/>
    </xf>
    <xf numFmtId="0" fontId="25" fillId="10" borderId="0" xfId="0" applyFont="1" applyFill="1"/>
    <xf numFmtId="0" fontId="25" fillId="10" borderId="0" xfId="0" applyFont="1" applyFill="1" applyAlignment="1">
      <alignment wrapText="1"/>
    </xf>
    <xf numFmtId="0" fontId="25" fillId="10" borderId="0" xfId="0" applyFont="1" applyFill="1" applyAlignment="1">
      <alignment horizontal="center" vertical="center"/>
    </xf>
    <xf numFmtId="0" fontId="20" fillId="11" borderId="1" xfId="0" applyFont="1" applyFill="1" applyBorder="1" applyAlignment="1">
      <alignment horizontal="center" vertical="center"/>
    </xf>
    <xf numFmtId="0" fontId="12" fillId="16" borderId="17" xfId="0" applyFont="1" applyFill="1" applyBorder="1" applyAlignment="1">
      <alignment horizontal="center" vertical="center" wrapText="1" readingOrder="1"/>
    </xf>
    <xf numFmtId="0" fontId="12" fillId="16" borderId="18" xfId="0" applyFont="1" applyFill="1" applyBorder="1" applyAlignment="1">
      <alignment horizontal="center" vertical="center" wrapText="1" readingOrder="1"/>
    </xf>
    <xf numFmtId="0" fontId="11" fillId="6" borderId="19" xfId="0" applyFont="1" applyFill="1" applyBorder="1" applyAlignment="1">
      <alignment horizontal="center" vertical="center" wrapText="1" readingOrder="1"/>
    </xf>
    <xf numFmtId="0" fontId="12" fillId="3" borderId="20" xfId="0" applyFont="1" applyFill="1" applyBorder="1" applyAlignment="1">
      <alignment horizontal="center" vertical="center" wrapText="1" readingOrder="1"/>
    </xf>
    <xf numFmtId="0" fontId="12" fillId="2" borderId="20" xfId="0" applyFont="1" applyFill="1" applyBorder="1" applyAlignment="1">
      <alignment horizontal="center" vertical="center" wrapText="1" readingOrder="1"/>
    </xf>
    <xf numFmtId="0" fontId="12" fillId="2" borderId="22" xfId="0" applyFont="1" applyFill="1" applyBorder="1" applyAlignment="1">
      <alignment horizontal="center" vertical="center" wrapText="1" readingOrder="1"/>
    </xf>
    <xf numFmtId="0" fontId="26" fillId="7" borderId="0" xfId="0" applyFont="1" applyFill="1" applyAlignment="1">
      <alignment horizontal="center" vertical="center"/>
    </xf>
    <xf numFmtId="0" fontId="20" fillId="18" borderId="1" xfId="0" applyFont="1" applyFill="1" applyBorder="1" applyAlignment="1">
      <alignment horizontal="center" vertical="center" wrapText="1"/>
    </xf>
    <xf numFmtId="0" fontId="19" fillId="7" borderId="1" xfId="0" applyFont="1" applyFill="1" applyBorder="1" applyAlignment="1">
      <alignment horizontal="justify" vertical="center"/>
    </xf>
    <xf numFmtId="0" fontId="19" fillId="7" borderId="21" xfId="0" applyFont="1" applyFill="1" applyBorder="1" applyAlignment="1">
      <alignment horizontal="center" vertical="center" wrapText="1"/>
    </xf>
    <xf numFmtId="0" fontId="17" fillId="7" borderId="0" xfId="0" applyFont="1" applyFill="1" applyAlignment="1">
      <alignment horizontal="justify" vertical="center"/>
    </xf>
    <xf numFmtId="0" fontId="17" fillId="7" borderId="1" xfId="0" applyFont="1" applyFill="1" applyBorder="1"/>
    <xf numFmtId="0" fontId="19" fillId="7" borderId="30" xfId="0" applyFont="1" applyFill="1" applyBorder="1" applyAlignment="1">
      <alignment horizontal="center" vertical="center"/>
    </xf>
    <xf numFmtId="0" fontId="19" fillId="7" borderId="25" xfId="0" applyFont="1" applyFill="1" applyBorder="1" applyAlignment="1">
      <alignment horizontal="center" vertical="center"/>
    </xf>
    <xf numFmtId="0" fontId="19" fillId="7" borderId="25" xfId="0" applyFont="1" applyFill="1" applyBorder="1" applyAlignment="1">
      <alignment horizontal="center" vertical="center" wrapText="1"/>
    </xf>
    <xf numFmtId="0" fontId="19" fillId="7" borderId="26" xfId="0" applyFont="1" applyFill="1" applyBorder="1" applyAlignment="1">
      <alignment horizontal="center" vertical="center"/>
    </xf>
    <xf numFmtId="0" fontId="20" fillId="13" borderId="53" xfId="0" applyFont="1" applyFill="1" applyBorder="1" applyAlignment="1">
      <alignment horizontal="center" vertical="center" wrapText="1"/>
    </xf>
    <xf numFmtId="0" fontId="20" fillId="13" borderId="54" xfId="0" applyFont="1" applyFill="1" applyBorder="1" applyAlignment="1">
      <alignment horizontal="center" vertical="center" wrapText="1"/>
    </xf>
    <xf numFmtId="0" fontId="20" fillId="12" borderId="23" xfId="0" applyFont="1" applyFill="1" applyBorder="1" applyAlignment="1">
      <alignment horizontal="center" vertical="center" wrapText="1"/>
    </xf>
    <xf numFmtId="0" fontId="20" fillId="12" borderId="55" xfId="0" applyFont="1" applyFill="1" applyBorder="1" applyAlignment="1">
      <alignment horizontal="center" vertical="center" wrapText="1"/>
    </xf>
    <xf numFmtId="0" fontId="20" fillId="12" borderId="24"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8" borderId="11" xfId="0" applyFont="1" applyFill="1" applyBorder="1" applyAlignment="1">
      <alignment horizontal="center" vertical="center" wrapText="1"/>
    </xf>
    <xf numFmtId="0" fontId="10" fillId="8" borderId="45"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5" fillId="0" borderId="17" xfId="0" applyFont="1" applyBorder="1" applyAlignment="1">
      <alignment horizontal="center" vertical="center"/>
    </xf>
    <xf numFmtId="0" fontId="16" fillId="0" borderId="18" xfId="0" applyFont="1" applyBorder="1" applyAlignment="1">
      <alignment horizontal="center" vertical="center" wrapText="1"/>
    </xf>
    <xf numFmtId="0" fontId="16" fillId="0" borderId="18" xfId="0" applyFont="1" applyBorder="1" applyAlignment="1">
      <alignment horizontal="justify" vertical="center" wrapText="1"/>
    </xf>
    <xf numFmtId="0" fontId="16" fillId="0" borderId="18" xfId="0" applyFont="1" applyBorder="1" applyAlignment="1">
      <alignment horizontal="center" vertical="center"/>
    </xf>
    <xf numFmtId="9" fontId="16" fillId="0" borderId="18" xfId="0" applyNumberFormat="1" applyFont="1" applyBorder="1" applyAlignment="1">
      <alignment horizontal="center" vertical="center"/>
    </xf>
    <xf numFmtId="0" fontId="11" fillId="0" borderId="19" xfId="0" applyFont="1" applyBorder="1" applyAlignment="1">
      <alignment horizontal="center" vertical="center"/>
    </xf>
    <xf numFmtId="0" fontId="15" fillId="0" borderId="20"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0" xfId="0" applyFont="1" applyBorder="1" applyAlignment="1">
      <alignment horizontal="center" vertical="center"/>
    </xf>
    <xf numFmtId="9" fontId="16" fillId="0" borderId="1" xfId="0" applyNumberFormat="1" applyFont="1" applyBorder="1" applyAlignment="1">
      <alignment horizontal="center" vertical="center"/>
    </xf>
    <xf numFmtId="0" fontId="11" fillId="0" borderId="47" xfId="0" applyFont="1" applyBorder="1" applyAlignment="1">
      <alignment horizontal="center" vertical="center"/>
    </xf>
    <xf numFmtId="0" fontId="20" fillId="7" borderId="35" xfId="0" applyFont="1" applyFill="1" applyBorder="1" applyAlignment="1">
      <alignment horizontal="center" vertical="center" wrapText="1"/>
    </xf>
    <xf numFmtId="0" fontId="20" fillId="8" borderId="28" xfId="0" applyFont="1" applyFill="1" applyBorder="1" applyAlignment="1">
      <alignment horizontal="center" vertical="center" wrapText="1"/>
    </xf>
    <xf numFmtId="0" fontId="20" fillId="8" borderId="33" xfId="0" applyFont="1" applyFill="1" applyBorder="1" applyAlignment="1">
      <alignment horizontal="center" vertical="center" wrapText="1"/>
    </xf>
    <xf numFmtId="0" fontId="20" fillId="8" borderId="34" xfId="0" applyFont="1" applyFill="1" applyBorder="1" applyAlignment="1">
      <alignment horizontal="center" vertical="center" wrapText="1"/>
    </xf>
    <xf numFmtId="0" fontId="20" fillId="8" borderId="35" xfId="0" applyFont="1" applyFill="1" applyBorder="1" applyAlignment="1">
      <alignment horizontal="center" vertical="center" wrapText="1"/>
    </xf>
    <xf numFmtId="0" fontId="20" fillId="8" borderId="36" xfId="0" applyFont="1" applyFill="1" applyBorder="1" applyAlignment="1">
      <alignment horizontal="center" vertical="center" wrapText="1"/>
    </xf>
    <xf numFmtId="0" fontId="19" fillId="7" borderId="17" xfId="0" applyFont="1" applyFill="1" applyBorder="1" applyAlignment="1">
      <alignment horizontal="center" vertical="center"/>
    </xf>
    <xf numFmtId="0" fontId="19" fillId="7" borderId="32" xfId="0" applyFont="1" applyFill="1" applyBorder="1" applyAlignment="1">
      <alignment horizontal="justify" vertical="center" wrapText="1"/>
    </xf>
    <xf numFmtId="9" fontId="19" fillId="7" borderId="40" xfId="1" applyFont="1" applyFill="1" applyBorder="1" applyAlignment="1">
      <alignment horizontal="center" vertical="center" wrapText="1"/>
    </xf>
    <xf numFmtId="0" fontId="20" fillId="0" borderId="19" xfId="0" applyFont="1" applyBorder="1" applyAlignment="1">
      <alignment horizontal="center" vertical="center" wrapText="1"/>
    </xf>
    <xf numFmtId="0" fontId="19" fillId="7" borderId="20" xfId="0" applyFont="1" applyFill="1" applyBorder="1" applyAlignment="1">
      <alignment horizontal="center" vertical="center"/>
    </xf>
    <xf numFmtId="9" fontId="19" fillId="7" borderId="50" xfId="1" applyFont="1" applyFill="1" applyBorder="1" applyAlignment="1">
      <alignment horizontal="center" vertical="center" wrapText="1"/>
    </xf>
    <xf numFmtId="0" fontId="20" fillId="0" borderId="21" xfId="0" applyFont="1" applyBorder="1" applyAlignment="1">
      <alignment horizontal="center" vertical="center" wrapText="1"/>
    </xf>
    <xf numFmtId="0" fontId="19" fillId="7" borderId="37" xfId="0" applyFont="1" applyFill="1" applyBorder="1" applyAlignment="1">
      <alignment horizontal="justify" vertical="center" wrapText="1"/>
    </xf>
    <xf numFmtId="0" fontId="19" fillId="7" borderId="22" xfId="0" applyFont="1" applyFill="1" applyBorder="1" applyAlignment="1">
      <alignment horizontal="center" vertical="center"/>
    </xf>
    <xf numFmtId="0" fontId="19" fillId="7" borderId="7" xfId="0" applyFont="1" applyFill="1" applyBorder="1"/>
    <xf numFmtId="0" fontId="20" fillId="14" borderId="15" xfId="0" applyFont="1" applyFill="1" applyBorder="1" applyAlignment="1">
      <alignment horizontal="center" vertical="center"/>
    </xf>
    <xf numFmtId="0" fontId="20" fillId="14" borderId="2" xfId="0" applyFont="1" applyFill="1" applyBorder="1" applyAlignment="1">
      <alignment horizontal="center" vertical="center" wrapText="1"/>
    </xf>
    <xf numFmtId="0" fontId="20" fillId="23" borderId="14" xfId="0" applyFont="1" applyFill="1" applyBorder="1" applyAlignment="1">
      <alignment horizontal="center" vertical="center" wrapText="1"/>
    </xf>
    <xf numFmtId="0" fontId="20" fillId="23" borderId="39" xfId="0" applyFont="1" applyFill="1" applyBorder="1" applyAlignment="1">
      <alignment horizontal="center" vertical="center" wrapText="1"/>
    </xf>
    <xf numFmtId="0" fontId="19" fillId="8" borderId="32" xfId="0" applyFont="1" applyFill="1" applyBorder="1" applyAlignment="1">
      <alignment horizontal="center" vertical="center"/>
    </xf>
    <xf numFmtId="0" fontId="19" fillId="8" borderId="19" xfId="0" applyFont="1" applyFill="1" applyBorder="1" applyAlignment="1">
      <alignment horizontal="center" vertical="center"/>
    </xf>
    <xf numFmtId="0" fontId="19" fillId="8" borderId="37" xfId="0" applyFont="1" applyFill="1" applyBorder="1" applyAlignment="1">
      <alignment horizontal="center" vertical="center"/>
    </xf>
    <xf numFmtId="0" fontId="19" fillId="8" borderId="21" xfId="0" applyFont="1" applyFill="1" applyBorder="1" applyAlignment="1">
      <alignment horizontal="center" vertical="center"/>
    </xf>
    <xf numFmtId="0" fontId="19" fillId="8" borderId="38" xfId="0" applyFont="1" applyFill="1" applyBorder="1" applyAlignment="1">
      <alignment horizontal="center" vertical="center"/>
    </xf>
    <xf numFmtId="0" fontId="19" fillId="8" borderId="24" xfId="0" applyFont="1" applyFill="1" applyBorder="1" applyAlignment="1">
      <alignment horizontal="center" vertical="center"/>
    </xf>
    <xf numFmtId="0" fontId="23" fillId="7" borderId="14" xfId="0" applyFont="1" applyFill="1" applyBorder="1" applyAlignment="1">
      <alignment vertical="center"/>
    </xf>
    <xf numFmtId="0" fontId="23" fillId="7" borderId="15" xfId="0" applyFont="1" applyFill="1" applyBorder="1" applyAlignment="1">
      <alignment vertical="center"/>
    </xf>
    <xf numFmtId="0" fontId="19" fillId="7" borderId="0" xfId="0" applyFont="1" applyFill="1" applyAlignment="1">
      <alignment vertical="top" wrapText="1"/>
    </xf>
    <xf numFmtId="0" fontId="19" fillId="7" borderId="0" xfId="0" applyFont="1" applyFill="1" applyAlignment="1">
      <alignment vertical="top"/>
    </xf>
    <xf numFmtId="0" fontId="19" fillId="7" borderId="0" xfId="0" applyFont="1" applyFill="1" applyAlignment="1">
      <alignment vertical="center"/>
    </xf>
    <xf numFmtId="0" fontId="27" fillId="7" borderId="0" xfId="0" applyFont="1" applyFill="1"/>
    <xf numFmtId="0" fontId="20" fillId="7" borderId="0" xfId="0" applyFont="1" applyFill="1" applyAlignment="1">
      <alignment vertical="center"/>
    </xf>
    <xf numFmtId="0" fontId="20" fillId="7" borderId="0" xfId="0" applyFont="1" applyFill="1" applyAlignment="1">
      <alignment vertical="center" wrapText="1"/>
    </xf>
    <xf numFmtId="0" fontId="16" fillId="7" borderId="0" xfId="0" applyFont="1" applyFill="1"/>
    <xf numFmtId="0" fontId="16" fillId="7" borderId="0" xfId="0" applyFont="1" applyFill="1" applyAlignment="1">
      <alignment horizontal="center" vertical="center"/>
    </xf>
    <xf numFmtId="0" fontId="16" fillId="7" borderId="0" xfId="0" applyFont="1" applyFill="1" applyAlignment="1">
      <alignment wrapText="1"/>
    </xf>
    <xf numFmtId="0" fontId="11" fillId="7" borderId="0" xfId="0" applyFont="1" applyFill="1" applyAlignment="1">
      <alignment horizontal="center" vertical="center"/>
    </xf>
    <xf numFmtId="0" fontId="15" fillId="7" borderId="0" xfId="0" applyFont="1" applyFill="1" applyAlignment="1">
      <alignment horizontal="center" vertical="center" wrapText="1"/>
    </xf>
    <xf numFmtId="0" fontId="21" fillId="0" borderId="18" xfId="0" applyFont="1" applyBorder="1" applyAlignment="1">
      <alignment horizontal="center" vertical="center"/>
    </xf>
    <xf numFmtId="0" fontId="21" fillId="0" borderId="1" xfId="0" applyFont="1" applyBorder="1" applyAlignment="1">
      <alignment horizontal="center" vertical="center"/>
    </xf>
    <xf numFmtId="0" fontId="20" fillId="3" borderId="49" xfId="0" applyFont="1" applyFill="1" applyBorder="1" applyAlignment="1">
      <alignment horizontal="center" vertical="center"/>
    </xf>
    <xf numFmtId="0" fontId="19" fillId="0" borderId="11" xfId="0" applyFont="1" applyBorder="1" applyAlignment="1">
      <alignment horizontal="center" vertical="center" wrapText="1"/>
    </xf>
    <xf numFmtId="0" fontId="19" fillId="7" borderId="13" xfId="0" applyFont="1" applyFill="1" applyBorder="1" applyAlignment="1">
      <alignment horizontal="center" vertical="center"/>
    </xf>
    <xf numFmtId="0" fontId="19" fillId="0" borderId="17" xfId="0" applyFont="1" applyBorder="1" applyAlignment="1">
      <alignment horizontal="center" vertical="center" wrapText="1"/>
    </xf>
    <xf numFmtId="0" fontId="19" fillId="7" borderId="19" xfId="0" applyFont="1" applyFill="1" applyBorder="1" applyAlignment="1">
      <alignment horizontal="center" vertical="center"/>
    </xf>
    <xf numFmtId="0" fontId="19" fillId="7" borderId="20" xfId="0" applyFont="1" applyFill="1" applyBorder="1"/>
    <xf numFmtId="0" fontId="19" fillId="7" borderId="21" xfId="0" applyFont="1" applyFill="1" applyBorder="1" applyAlignment="1">
      <alignment horizontal="center" vertical="center"/>
    </xf>
    <xf numFmtId="0" fontId="19" fillId="7" borderId="22" xfId="0" applyFont="1" applyFill="1" applyBorder="1"/>
    <xf numFmtId="0" fontId="19" fillId="7" borderId="24" xfId="0" applyFont="1" applyFill="1" applyBorder="1" applyAlignment="1">
      <alignment horizontal="center" vertical="center"/>
    </xf>
    <xf numFmtId="0" fontId="15" fillId="2" borderId="13" xfId="0" applyFont="1" applyFill="1" applyBorder="1" applyAlignment="1">
      <alignment horizontal="center" vertical="center" wrapText="1"/>
    </xf>
    <xf numFmtId="0" fontId="23" fillId="3" borderId="0" xfId="0" applyFont="1" applyFill="1" applyAlignment="1">
      <alignment horizontal="center"/>
    </xf>
    <xf numFmtId="0" fontId="30" fillId="3" borderId="1" xfId="0" applyFont="1" applyFill="1" applyBorder="1" applyAlignment="1">
      <alignment horizontal="center" vertical="center"/>
    </xf>
    <xf numFmtId="0" fontId="31" fillId="3" borderId="1" xfId="0" applyFont="1" applyFill="1" applyBorder="1" applyAlignment="1">
      <alignment horizontal="center" vertical="center" wrapText="1"/>
    </xf>
    <xf numFmtId="0" fontId="31" fillId="24" borderId="1" xfId="0" applyFont="1" applyFill="1" applyBorder="1" applyAlignment="1">
      <alignment horizontal="center" vertical="center" wrapText="1"/>
    </xf>
    <xf numFmtId="0" fontId="31" fillId="7" borderId="1" xfId="0" applyFont="1" applyFill="1" applyBorder="1" applyAlignment="1">
      <alignment horizontal="center" vertical="center"/>
    </xf>
    <xf numFmtId="0" fontId="31" fillId="7" borderId="0" xfId="0" applyFont="1" applyFill="1"/>
    <xf numFmtId="0" fontId="30" fillId="7" borderId="0" xfId="0" applyFont="1" applyFill="1" applyAlignment="1">
      <alignment horizontal="center" vertical="center"/>
    </xf>
    <xf numFmtId="0" fontId="16" fillId="7" borderId="42" xfId="0" applyFont="1" applyFill="1" applyBorder="1" applyAlignment="1">
      <alignment horizontal="center" vertical="center"/>
    </xf>
    <xf numFmtId="0" fontId="20" fillId="25" borderId="2" xfId="0" applyFont="1" applyFill="1" applyBorder="1" applyAlignment="1">
      <alignment horizontal="center" vertical="center"/>
    </xf>
    <xf numFmtId="0" fontId="20" fillId="26" borderId="28" xfId="0" applyFont="1" applyFill="1" applyBorder="1" applyAlignment="1">
      <alignment horizontal="center" vertical="center" wrapText="1"/>
    </xf>
    <xf numFmtId="0" fontId="20" fillId="26" borderId="33" xfId="0" applyFont="1" applyFill="1" applyBorder="1" applyAlignment="1">
      <alignment horizontal="center" vertical="center" wrapText="1"/>
    </xf>
    <xf numFmtId="0" fontId="9" fillId="0" borderId="42" xfId="0" applyFont="1" applyBorder="1" applyAlignment="1">
      <alignment horizontal="center" vertical="center" wrapText="1" readingOrder="1"/>
    </xf>
    <xf numFmtId="0" fontId="9" fillId="0" borderId="43" xfId="0" applyFont="1" applyBorder="1" applyAlignment="1">
      <alignment horizontal="center" vertical="center" wrapText="1" readingOrder="1"/>
    </xf>
    <xf numFmtId="0" fontId="9" fillId="0" borderId="44" xfId="0" applyFont="1" applyBorder="1" applyAlignment="1">
      <alignment horizontal="center" vertical="center" wrapText="1" readingOrder="1"/>
    </xf>
    <xf numFmtId="0" fontId="8" fillId="0" borderId="11" xfId="0" applyFont="1" applyBorder="1" applyAlignment="1">
      <alignment horizontal="center" vertical="center" wrapText="1" readingOrder="1"/>
    </xf>
    <xf numFmtId="0" fontId="8" fillId="0" borderId="12" xfId="0" applyFont="1" applyBorder="1" applyAlignment="1">
      <alignment horizontal="center" vertical="center" wrapText="1" readingOrder="1"/>
    </xf>
    <xf numFmtId="0" fontId="8" fillId="0" borderId="13" xfId="0" applyFont="1" applyBorder="1" applyAlignment="1">
      <alignment horizontal="center" vertical="center" wrapText="1" readingOrder="1"/>
    </xf>
    <xf numFmtId="0" fontId="20" fillId="7" borderId="4" xfId="0" applyFont="1" applyFill="1" applyBorder="1" applyAlignment="1">
      <alignment vertical="center"/>
    </xf>
    <xf numFmtId="0" fontId="20" fillId="7" borderId="6" xfId="0" applyFont="1" applyFill="1" applyBorder="1" applyAlignment="1">
      <alignment vertical="center"/>
    </xf>
    <xf numFmtId="0" fontId="20" fillId="7" borderId="9" xfId="0" applyFont="1" applyFill="1" applyBorder="1" applyAlignment="1">
      <alignment vertical="center"/>
    </xf>
    <xf numFmtId="0" fontId="20" fillId="14" borderId="11" xfId="0" applyFont="1" applyFill="1" applyBorder="1" applyAlignment="1">
      <alignment horizontal="center" vertical="center" wrapText="1"/>
    </xf>
    <xf numFmtId="0" fontId="20" fillId="14" borderId="12" xfId="0" applyFont="1" applyFill="1" applyBorder="1" applyAlignment="1">
      <alignment horizontal="center" vertical="center" wrapText="1"/>
    </xf>
    <xf numFmtId="0" fontId="17" fillId="18" borderId="0" xfId="0" applyFont="1" applyFill="1"/>
    <xf numFmtId="0" fontId="20" fillId="7" borderId="2" xfId="0" applyFont="1" applyFill="1" applyBorder="1" applyAlignment="1">
      <alignment horizontal="center" vertical="center"/>
    </xf>
    <xf numFmtId="0" fontId="20" fillId="7" borderId="5" xfId="0" applyFont="1" applyFill="1" applyBorder="1" applyAlignment="1">
      <alignment horizontal="center" vertical="center"/>
    </xf>
    <xf numFmtId="0" fontId="20" fillId="7" borderId="7" xfId="0" applyFont="1" applyFill="1" applyBorder="1" applyAlignment="1">
      <alignment horizontal="center" vertical="center"/>
    </xf>
    <xf numFmtId="0" fontId="20" fillId="14" borderId="39" xfId="0" applyFont="1" applyFill="1" applyBorder="1" applyAlignment="1">
      <alignment horizontal="center" vertical="center" wrapText="1"/>
    </xf>
    <xf numFmtId="0" fontId="19" fillId="0" borderId="42" xfId="0" applyFont="1" applyBorder="1" applyAlignment="1">
      <alignment horizontal="center" vertical="center"/>
    </xf>
    <xf numFmtId="0" fontId="19" fillId="0" borderId="43" xfId="0" applyFont="1" applyBorder="1" applyAlignment="1">
      <alignment horizontal="center" vertical="center"/>
    </xf>
    <xf numFmtId="0" fontId="14" fillId="2" borderId="35" xfId="0" applyFont="1" applyFill="1" applyBorder="1" applyAlignment="1">
      <alignment horizontal="justify" vertical="center" wrapText="1"/>
    </xf>
    <xf numFmtId="0" fontId="14" fillId="2" borderId="35"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4" fillId="29" borderId="35" xfId="0" applyFont="1" applyFill="1" applyBorder="1" applyAlignment="1">
      <alignment horizontal="center" vertical="center" wrapText="1"/>
    </xf>
    <xf numFmtId="0" fontId="19" fillId="30" borderId="0" xfId="0" applyFont="1" applyFill="1" applyAlignment="1">
      <alignment horizontal="center" vertical="center"/>
    </xf>
    <xf numFmtId="0" fontId="19" fillId="30" borderId="0" xfId="0" applyFont="1" applyFill="1"/>
    <xf numFmtId="0" fontId="19" fillId="30" borderId="0" xfId="0" applyFont="1" applyFill="1" applyAlignment="1">
      <alignment wrapText="1"/>
    </xf>
    <xf numFmtId="0" fontId="19" fillId="7" borderId="0" xfId="0" applyFont="1" applyFill="1" applyAlignment="1">
      <alignment horizontal="center"/>
    </xf>
    <xf numFmtId="0" fontId="20" fillId="31" borderId="1" xfId="0" applyFont="1" applyFill="1" applyBorder="1"/>
    <xf numFmtId="0" fontId="20" fillId="31" borderId="1" xfId="0" applyFont="1" applyFill="1" applyBorder="1" applyAlignment="1">
      <alignment horizontal="center" vertical="center"/>
    </xf>
    <xf numFmtId="0" fontId="20" fillId="31" borderId="1" xfId="0" applyFont="1" applyFill="1" applyBorder="1" applyAlignment="1">
      <alignment vertical="center"/>
    </xf>
    <xf numFmtId="0" fontId="19" fillId="7" borderId="37" xfId="0" applyFont="1" applyFill="1" applyBorder="1" applyAlignment="1">
      <alignment horizontal="center" vertical="center" wrapText="1"/>
    </xf>
    <xf numFmtId="0" fontId="34" fillId="7" borderId="0" xfId="0" applyFont="1" applyFill="1" applyAlignment="1">
      <alignment horizontal="center" vertical="center" wrapText="1"/>
    </xf>
    <xf numFmtId="0" fontId="0" fillId="7" borderId="0" xfId="0" applyFill="1" applyAlignment="1">
      <alignment horizontal="center"/>
    </xf>
    <xf numFmtId="0" fontId="19" fillId="32" borderId="1" xfId="0" applyFont="1" applyFill="1" applyBorder="1" applyAlignment="1">
      <alignment horizontal="center" vertical="center"/>
    </xf>
    <xf numFmtId="0" fontId="19" fillId="33" borderId="1" xfId="0" applyFont="1" applyFill="1" applyBorder="1" applyAlignment="1">
      <alignment horizontal="center" vertical="center"/>
    </xf>
    <xf numFmtId="0" fontId="0" fillId="0" borderId="0" xfId="0" applyAlignment="1">
      <alignment horizontal="center" vertical="center"/>
    </xf>
    <xf numFmtId="0" fontId="19" fillId="34" borderId="1" xfId="0" applyFont="1" applyFill="1" applyBorder="1" applyAlignment="1">
      <alignment horizontal="center" vertical="center" wrapText="1"/>
    </xf>
    <xf numFmtId="0" fontId="0" fillId="0" borderId="1" xfId="0" applyBorder="1" applyAlignment="1">
      <alignment horizontal="center" vertical="center"/>
    </xf>
    <xf numFmtId="0" fontId="0" fillId="34" borderId="1" xfId="0" applyFill="1" applyBorder="1" applyAlignment="1">
      <alignment horizontal="center" vertical="center"/>
    </xf>
    <xf numFmtId="0" fontId="0" fillId="35" borderId="1" xfId="0" applyFill="1" applyBorder="1" applyAlignment="1">
      <alignment horizontal="center" vertical="center"/>
    </xf>
    <xf numFmtId="0" fontId="0" fillId="32" borderId="1" xfId="0" applyFill="1" applyBorder="1" applyAlignment="1">
      <alignment horizontal="center" vertical="center"/>
    </xf>
    <xf numFmtId="0" fontId="2" fillId="9" borderId="1" xfId="0" applyFont="1" applyFill="1" applyBorder="1" applyAlignment="1">
      <alignment horizontal="center" vertical="center"/>
    </xf>
    <xf numFmtId="0" fontId="0" fillId="0" borderId="1" xfId="0" applyBorder="1" applyAlignment="1">
      <alignment vertical="center"/>
    </xf>
    <xf numFmtId="0" fontId="20" fillId="9" borderId="58" xfId="0" applyFont="1" applyFill="1" applyBorder="1" applyAlignment="1">
      <alignment vertical="center"/>
    </xf>
    <xf numFmtId="0" fontId="2" fillId="9" borderId="0" xfId="0" applyFont="1" applyFill="1" applyAlignment="1">
      <alignment horizontal="center" vertical="center"/>
    </xf>
    <xf numFmtId="0" fontId="2" fillId="9" borderId="0" xfId="0" applyFont="1" applyFill="1" applyAlignment="1">
      <alignment horizontal="center"/>
    </xf>
    <xf numFmtId="0" fontId="0" fillId="36" borderId="1" xfId="0" applyFill="1" applyBorder="1" applyAlignment="1">
      <alignment horizontal="center" vertical="center"/>
    </xf>
    <xf numFmtId="0" fontId="19" fillId="7" borderId="56" xfId="0" applyFont="1" applyFill="1" applyBorder="1" applyAlignment="1">
      <alignment horizontal="center" vertical="center"/>
    </xf>
    <xf numFmtId="0" fontId="19" fillId="7" borderId="35" xfId="0" applyFont="1" applyFill="1" applyBorder="1" applyAlignment="1">
      <alignment vertical="center"/>
    </xf>
    <xf numFmtId="0" fontId="19" fillId="7" borderId="51" xfId="0" applyFont="1" applyFill="1" applyBorder="1" applyAlignment="1">
      <alignment vertical="center"/>
    </xf>
    <xf numFmtId="0" fontId="14" fillId="14" borderId="39" xfId="0" applyFont="1" applyFill="1" applyBorder="1" applyAlignment="1">
      <alignment horizontal="center" vertical="center" wrapText="1"/>
    </xf>
    <xf numFmtId="0" fontId="14" fillId="14" borderId="13" xfId="0" applyFont="1" applyFill="1" applyBorder="1" applyAlignment="1">
      <alignment horizontal="center" vertical="center" wrapText="1"/>
    </xf>
    <xf numFmtId="0" fontId="14" fillId="14" borderId="14" xfId="0" applyFont="1" applyFill="1" applyBorder="1" applyAlignment="1">
      <alignment horizontal="center" vertical="center" wrapText="1"/>
    </xf>
    <xf numFmtId="0" fontId="14" fillId="7" borderId="39" xfId="0" applyFont="1" applyFill="1" applyBorder="1" applyAlignment="1">
      <alignment horizontal="center" vertical="center" wrapText="1"/>
    </xf>
    <xf numFmtId="0" fontId="14" fillId="7" borderId="42" xfId="0" applyFont="1" applyFill="1" applyBorder="1" applyAlignment="1">
      <alignment horizontal="center" vertical="center"/>
    </xf>
    <xf numFmtId="0" fontId="17" fillId="7" borderId="18" xfId="0" applyFont="1" applyFill="1" applyBorder="1" applyAlignment="1">
      <alignment horizontal="center" vertical="center"/>
    </xf>
    <xf numFmtId="0" fontId="17" fillId="7" borderId="18" xfId="0" applyFont="1" applyFill="1" applyBorder="1" applyAlignment="1">
      <alignment horizontal="center" vertical="center" wrapText="1"/>
    </xf>
    <xf numFmtId="0" fontId="17" fillId="7" borderId="19" xfId="0" applyFont="1" applyFill="1" applyBorder="1" applyAlignment="1">
      <alignment horizontal="center" vertical="center"/>
    </xf>
    <xf numFmtId="0" fontId="17" fillId="7" borderId="59" xfId="0" applyFont="1" applyFill="1" applyBorder="1" applyAlignment="1">
      <alignment horizontal="center" vertical="center"/>
    </xf>
    <xf numFmtId="0" fontId="17" fillId="7" borderId="10" xfId="0" applyFont="1" applyFill="1" applyBorder="1" applyAlignment="1">
      <alignment horizontal="center" vertical="center"/>
    </xf>
    <xf numFmtId="0" fontId="14" fillId="7" borderId="43" xfId="0" applyFont="1" applyFill="1" applyBorder="1" applyAlignment="1">
      <alignment horizontal="center" vertical="center"/>
    </xf>
    <xf numFmtId="0" fontId="17" fillId="7" borderId="56" xfId="0" applyFont="1" applyFill="1" applyBorder="1"/>
    <xf numFmtId="0" fontId="17"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39" xfId="0" applyFont="1" applyFill="1" applyBorder="1" applyAlignment="1">
      <alignment horizontal="center" vertical="center" wrapText="1"/>
    </xf>
    <xf numFmtId="0" fontId="17" fillId="0" borderId="10" xfId="0" applyFont="1" applyBorder="1" applyAlignment="1">
      <alignment horizontal="center" vertical="center"/>
    </xf>
    <xf numFmtId="0" fontId="14" fillId="18" borderId="39" xfId="0" applyFont="1" applyFill="1" applyBorder="1" applyAlignment="1">
      <alignment horizontal="center" vertical="center" wrapText="1"/>
    </xf>
    <xf numFmtId="0" fontId="20" fillId="3" borderId="1" xfId="0" applyFont="1" applyFill="1" applyBorder="1" applyAlignment="1">
      <alignment horizontal="center" vertical="center" wrapText="1"/>
    </xf>
    <xf numFmtId="1" fontId="17" fillId="7" borderId="0" xfId="0" applyNumberFormat="1" applyFont="1" applyFill="1"/>
    <xf numFmtId="0" fontId="35" fillId="7" borderId="1" xfId="0" applyFont="1" applyFill="1" applyBorder="1" applyAlignment="1">
      <alignment horizontal="center" vertical="center" wrapText="1" readingOrder="1"/>
    </xf>
    <xf numFmtId="0" fontId="36" fillId="7" borderId="1" xfId="0" applyFont="1" applyFill="1" applyBorder="1" applyAlignment="1">
      <alignment horizontal="center" vertical="center"/>
    </xf>
    <xf numFmtId="0" fontId="37" fillId="2" borderId="1" xfId="0" applyFont="1" applyFill="1" applyBorder="1" applyAlignment="1">
      <alignment horizontal="center" vertical="center" wrapText="1" readingOrder="1"/>
    </xf>
    <xf numFmtId="0" fontId="37" fillId="4" borderId="1" xfId="0" applyFont="1" applyFill="1" applyBorder="1" applyAlignment="1">
      <alignment horizontal="center" vertical="center" wrapText="1" readingOrder="1"/>
    </xf>
    <xf numFmtId="0" fontId="37" fillId="17" borderId="1" xfId="0" applyFont="1" applyFill="1" applyBorder="1" applyAlignment="1">
      <alignment horizontal="center" vertical="center" wrapText="1" readingOrder="1"/>
    </xf>
    <xf numFmtId="0" fontId="37" fillId="19" borderId="1" xfId="0" applyFont="1" applyFill="1" applyBorder="1" applyAlignment="1">
      <alignment horizontal="center" vertical="center" wrapText="1" readingOrder="1"/>
    </xf>
    <xf numFmtId="0" fontId="38" fillId="6" borderId="1" xfId="0" applyFont="1" applyFill="1" applyBorder="1" applyAlignment="1">
      <alignment horizontal="center" vertical="center" wrapText="1" readingOrder="1"/>
    </xf>
    <xf numFmtId="0" fontId="36" fillId="37" borderId="1" xfId="0" applyFont="1" applyFill="1" applyBorder="1" applyAlignment="1">
      <alignment horizontal="center" vertical="center" wrapText="1" readingOrder="1"/>
    </xf>
    <xf numFmtId="0" fontId="17" fillId="7" borderId="1" xfId="0" applyFont="1" applyFill="1" applyBorder="1" applyAlignment="1">
      <alignment horizontal="center"/>
    </xf>
    <xf numFmtId="0" fontId="17" fillId="7" borderId="10" xfId="0" applyFont="1" applyFill="1" applyBorder="1" applyAlignment="1">
      <alignment horizontal="left" vertical="center"/>
    </xf>
    <xf numFmtId="0" fontId="14" fillId="14" borderId="16" xfId="0" applyFont="1" applyFill="1" applyBorder="1" applyAlignment="1">
      <alignment horizontal="center" vertical="center" wrapText="1"/>
    </xf>
    <xf numFmtId="0" fontId="14" fillId="2" borderId="14" xfId="0" applyFont="1" applyFill="1" applyBorder="1" applyAlignment="1">
      <alignment horizontal="center" vertical="center" wrapText="1"/>
    </xf>
    <xf numFmtId="9" fontId="17" fillId="7" borderId="10" xfId="0" applyNumberFormat="1" applyFont="1" applyFill="1" applyBorder="1" applyAlignment="1">
      <alignment horizontal="center" vertical="center"/>
    </xf>
    <xf numFmtId="0" fontId="14" fillId="2" borderId="16" xfId="0" applyFont="1" applyFill="1" applyBorder="1" applyAlignment="1">
      <alignment horizontal="center" vertical="center" wrapText="1"/>
    </xf>
    <xf numFmtId="0" fontId="39" fillId="2" borderId="1" xfId="0" applyFont="1" applyFill="1" applyBorder="1" applyAlignment="1">
      <alignment horizontal="center" vertical="center" wrapText="1" readingOrder="1"/>
    </xf>
    <xf numFmtId="0" fontId="39" fillId="4" borderId="1" xfId="0" applyFont="1" applyFill="1" applyBorder="1" applyAlignment="1">
      <alignment horizontal="center" vertical="center" wrapText="1" readingOrder="1"/>
    </xf>
    <xf numFmtId="0" fontId="39" fillId="17" borderId="1" xfId="0" applyFont="1" applyFill="1" applyBorder="1" applyAlignment="1">
      <alignment horizontal="center" vertical="center" wrapText="1" readingOrder="1"/>
    </xf>
    <xf numFmtId="0" fontId="39" fillId="19" borderId="1" xfId="0" applyFont="1" applyFill="1" applyBorder="1" applyAlignment="1">
      <alignment horizontal="center" vertical="center" wrapText="1" readingOrder="1"/>
    </xf>
    <xf numFmtId="0" fontId="40" fillId="6" borderId="1" xfId="0" applyFont="1" applyFill="1" applyBorder="1" applyAlignment="1">
      <alignment horizontal="center" vertical="center" wrapText="1" readingOrder="1"/>
    </xf>
    <xf numFmtId="0" fontId="39" fillId="2" borderId="10" xfId="0" applyFont="1" applyFill="1" applyBorder="1" applyAlignment="1">
      <alignment horizontal="center" vertical="center" wrapText="1" readingOrder="1"/>
    </xf>
    <xf numFmtId="0" fontId="37" fillId="17" borderId="10" xfId="0" applyFont="1" applyFill="1" applyBorder="1" applyAlignment="1">
      <alignment horizontal="center" vertical="center" wrapText="1" readingOrder="1"/>
    </xf>
    <xf numFmtId="0" fontId="14" fillId="7" borderId="11" xfId="0" applyFont="1" applyFill="1" applyBorder="1" applyAlignment="1">
      <alignment horizontal="center" vertical="center"/>
    </xf>
    <xf numFmtId="0" fontId="14" fillId="7" borderId="12" xfId="0" applyFont="1" applyFill="1" applyBorder="1" applyAlignment="1">
      <alignment horizontal="center" vertical="center"/>
    </xf>
    <xf numFmtId="0" fontId="14" fillId="7" borderId="13" xfId="0" applyFont="1" applyFill="1" applyBorder="1" applyAlignment="1">
      <alignment horizontal="center" vertical="center"/>
    </xf>
    <xf numFmtId="0" fontId="14" fillId="7" borderId="39" xfId="0" applyFont="1" applyFill="1" applyBorder="1" applyAlignment="1">
      <alignment horizontal="center" vertical="center"/>
    </xf>
    <xf numFmtId="0" fontId="36" fillId="17" borderId="10" xfId="0" applyFont="1" applyFill="1" applyBorder="1" applyAlignment="1">
      <alignment horizontal="center" vertical="center" wrapText="1" readingOrder="1"/>
    </xf>
    <xf numFmtId="0" fontId="36" fillId="19" borderId="1" xfId="0" applyFont="1" applyFill="1" applyBorder="1" applyAlignment="1">
      <alignment horizontal="center" vertical="center" wrapText="1" readingOrder="1"/>
    </xf>
    <xf numFmtId="0" fontId="36" fillId="6" borderId="1" xfId="0" applyFont="1" applyFill="1" applyBorder="1" applyAlignment="1">
      <alignment horizontal="center" vertical="center" wrapText="1" readingOrder="1"/>
    </xf>
    <xf numFmtId="0" fontId="17" fillId="7" borderId="56" xfId="0" applyFont="1" applyFill="1" applyBorder="1" applyAlignment="1">
      <alignment horizontal="justify"/>
    </xf>
    <xf numFmtId="0" fontId="14" fillId="17" borderId="39" xfId="0" applyFont="1" applyFill="1" applyBorder="1" applyAlignment="1">
      <alignment horizontal="center" vertical="center"/>
    </xf>
    <xf numFmtId="0" fontId="36" fillId="0" borderId="0" xfId="0" applyFont="1" applyAlignment="1">
      <alignment horizontal="center" vertical="center" wrapText="1"/>
    </xf>
    <xf numFmtId="0" fontId="39" fillId="21" borderId="0" xfId="0" applyFont="1" applyFill="1" applyAlignment="1">
      <alignment horizontal="center" vertical="center" wrapText="1" readingOrder="1"/>
    </xf>
    <xf numFmtId="0" fontId="37" fillId="2" borderId="41" xfId="0" applyFont="1" applyFill="1" applyBorder="1" applyAlignment="1">
      <alignment horizontal="center" vertical="center" wrapText="1" readingOrder="1"/>
    </xf>
    <xf numFmtId="9" fontId="14" fillId="7" borderId="19" xfId="0" applyNumberFormat="1" applyFont="1" applyFill="1" applyBorder="1" applyAlignment="1">
      <alignment horizontal="center" vertical="center"/>
    </xf>
    <xf numFmtId="0" fontId="37" fillId="0" borderId="17" xfId="0" applyFont="1" applyBorder="1" applyAlignment="1">
      <alignment horizontal="center" vertical="center" wrapText="1" readingOrder="1"/>
    </xf>
    <xf numFmtId="9" fontId="39" fillId="0" borderId="18" xfId="1" applyFont="1" applyBorder="1" applyAlignment="1">
      <alignment horizontal="center" vertical="center" wrapText="1" readingOrder="1"/>
    </xf>
    <xf numFmtId="0" fontId="37" fillId="4" borderId="25" xfId="0" applyFont="1" applyFill="1" applyBorder="1" applyAlignment="1">
      <alignment horizontal="center" vertical="center" wrapText="1" readingOrder="1"/>
    </xf>
    <xf numFmtId="9" fontId="14" fillId="7" borderId="21" xfId="0" applyNumberFormat="1" applyFont="1" applyFill="1" applyBorder="1" applyAlignment="1">
      <alignment horizontal="center" vertical="center"/>
    </xf>
    <xf numFmtId="0" fontId="37" fillId="0" borderId="20" xfId="0" applyFont="1" applyBorder="1" applyAlignment="1">
      <alignment horizontal="center" vertical="center" wrapText="1" readingOrder="1"/>
    </xf>
    <xf numFmtId="9" fontId="39" fillId="0" borderId="1" xfId="1" applyFont="1" applyBorder="1" applyAlignment="1">
      <alignment horizontal="center" vertical="center" wrapText="1" readingOrder="1"/>
    </xf>
    <xf numFmtId="0" fontId="37" fillId="17" borderId="25" xfId="0" applyFont="1" applyFill="1" applyBorder="1" applyAlignment="1">
      <alignment horizontal="center" vertical="center" wrapText="1" readingOrder="1"/>
    </xf>
    <xf numFmtId="0" fontId="37" fillId="19" borderId="25" xfId="0" applyFont="1" applyFill="1" applyBorder="1" applyAlignment="1">
      <alignment horizontal="center" vertical="center" wrapText="1" readingOrder="1"/>
    </xf>
    <xf numFmtId="0" fontId="38" fillId="6" borderId="26" xfId="0" applyFont="1" applyFill="1" applyBorder="1" applyAlignment="1">
      <alignment horizontal="center" vertical="center" wrapText="1" readingOrder="1"/>
    </xf>
    <xf numFmtId="9" fontId="14" fillId="7" borderId="24" xfId="0" applyNumberFormat="1" applyFont="1" applyFill="1" applyBorder="1" applyAlignment="1">
      <alignment horizontal="center" vertical="center"/>
    </xf>
    <xf numFmtId="0" fontId="37" fillId="0" borderId="22" xfId="0" applyFont="1" applyBorder="1" applyAlignment="1">
      <alignment horizontal="center" vertical="center" wrapText="1" readingOrder="1"/>
    </xf>
    <xf numFmtId="9" fontId="39" fillId="0" borderId="23" xfId="1" applyFont="1" applyBorder="1" applyAlignment="1">
      <alignment horizontal="center" vertical="center" wrapText="1" readingOrder="1"/>
    </xf>
    <xf numFmtId="0" fontId="14" fillId="7" borderId="0" xfId="0" applyFont="1" applyFill="1" applyAlignment="1">
      <alignment wrapText="1"/>
    </xf>
    <xf numFmtId="0" fontId="14" fillId="7" borderId="8" xfId="0" applyFont="1" applyFill="1" applyBorder="1" applyAlignment="1">
      <alignment horizontal="center" vertical="center"/>
    </xf>
    <xf numFmtId="0" fontId="39" fillId="2" borderId="30" xfId="0" applyFont="1" applyFill="1" applyBorder="1" applyAlignment="1">
      <alignment horizontal="center" vertical="center" wrapText="1" readingOrder="1"/>
    </xf>
    <xf numFmtId="0" fontId="17" fillId="0" borderId="10" xfId="0" applyFont="1" applyBorder="1" applyAlignment="1">
      <alignment horizontal="center" vertical="center" wrapText="1"/>
    </xf>
    <xf numFmtId="9" fontId="17" fillId="0" borderId="47" xfId="0" applyNumberFormat="1" applyFont="1" applyBorder="1" applyAlignment="1">
      <alignment horizontal="center" vertical="center"/>
    </xf>
    <xf numFmtId="1" fontId="17" fillId="7" borderId="42" xfId="1" applyNumberFormat="1" applyFont="1" applyFill="1" applyBorder="1" applyAlignment="1">
      <alignment horizontal="center" vertical="center"/>
    </xf>
    <xf numFmtId="0" fontId="37" fillId="17" borderId="30" xfId="0" applyFont="1" applyFill="1" applyBorder="1" applyAlignment="1">
      <alignment horizontal="center" vertical="center" wrapText="1" readingOrder="1"/>
    </xf>
    <xf numFmtId="9" fontId="17" fillId="7" borderId="47" xfId="0" applyNumberFormat="1" applyFont="1" applyFill="1" applyBorder="1" applyAlignment="1">
      <alignment horizontal="center" vertical="center"/>
    </xf>
    <xf numFmtId="2" fontId="17" fillId="7" borderId="0" xfId="0" applyNumberFormat="1" applyFont="1" applyFill="1" applyAlignment="1">
      <alignment horizontal="center" vertical="center"/>
    </xf>
    <xf numFmtId="0" fontId="39" fillId="4" borderId="25" xfId="0" applyFont="1" applyFill="1" applyBorder="1" applyAlignment="1">
      <alignment horizontal="center" vertical="center" wrapText="1" readingOrder="1"/>
    </xf>
    <xf numFmtId="0" fontId="17" fillId="0" borderId="1" xfId="0" applyFont="1" applyBorder="1" applyAlignment="1">
      <alignment horizontal="center" vertical="center" wrapText="1"/>
    </xf>
    <xf numFmtId="9" fontId="17" fillId="0" borderId="21" xfId="0" applyNumberFormat="1" applyFont="1" applyBorder="1" applyAlignment="1">
      <alignment horizontal="center" vertical="center"/>
    </xf>
    <xf numFmtId="1" fontId="17" fillId="7" borderId="43" xfId="2" applyNumberFormat="1" applyFont="1" applyFill="1" applyBorder="1" applyAlignment="1">
      <alignment horizontal="center" vertical="center"/>
    </xf>
    <xf numFmtId="9" fontId="17" fillId="7" borderId="21" xfId="0" applyNumberFormat="1" applyFont="1" applyFill="1" applyBorder="1" applyAlignment="1">
      <alignment horizontal="center" vertical="center"/>
    </xf>
    <xf numFmtId="0" fontId="39" fillId="17" borderId="25" xfId="0" applyFont="1" applyFill="1" applyBorder="1" applyAlignment="1">
      <alignment horizontal="center" vertical="center" wrapText="1" readingOrder="1"/>
    </xf>
    <xf numFmtId="1" fontId="14" fillId="7" borderId="43" xfId="0" applyNumberFormat="1" applyFont="1" applyFill="1" applyBorder="1" applyAlignment="1">
      <alignment horizontal="center" vertical="center"/>
    </xf>
    <xf numFmtId="9" fontId="17" fillId="7" borderId="24" xfId="0" applyNumberFormat="1" applyFont="1" applyFill="1" applyBorder="1" applyAlignment="1">
      <alignment horizontal="center" vertical="center"/>
    </xf>
    <xf numFmtId="0" fontId="17" fillId="0" borderId="23" xfId="0" applyFont="1" applyBorder="1" applyAlignment="1">
      <alignment horizontal="center" vertical="center" wrapText="1"/>
    </xf>
    <xf numFmtId="0" fontId="39" fillId="19" borderId="25" xfId="0" applyFont="1" applyFill="1" applyBorder="1" applyAlignment="1">
      <alignment horizontal="center" vertical="center" wrapText="1" readingOrder="1"/>
    </xf>
    <xf numFmtId="1" fontId="17" fillId="7" borderId="43" xfId="0" applyNumberFormat="1" applyFont="1" applyFill="1" applyBorder="1" applyAlignment="1">
      <alignment horizontal="center" vertical="center"/>
    </xf>
    <xf numFmtId="0" fontId="40" fillId="6" borderId="26" xfId="0" applyFont="1" applyFill="1" applyBorder="1" applyAlignment="1">
      <alignment horizontal="center" vertical="center" wrapText="1" readingOrder="1"/>
    </xf>
    <xf numFmtId="9" fontId="17" fillId="0" borderId="24" xfId="0" applyNumberFormat="1" applyFont="1" applyBorder="1" applyAlignment="1">
      <alignment horizontal="center" vertical="center"/>
    </xf>
    <xf numFmtId="1" fontId="17" fillId="7" borderId="44" xfId="0" applyNumberFormat="1" applyFont="1" applyFill="1" applyBorder="1" applyAlignment="1">
      <alignment horizontal="center" vertical="center"/>
    </xf>
    <xf numFmtId="14" fontId="34" fillId="0" borderId="10" xfId="0" applyNumberFormat="1" applyFont="1" applyBorder="1" applyAlignment="1" applyProtection="1">
      <alignment horizontal="center" vertical="center" wrapText="1"/>
      <protection locked="0"/>
    </xf>
    <xf numFmtId="14" fontId="34" fillId="0" borderId="1" xfId="0" applyNumberFormat="1" applyFont="1" applyBorder="1" applyAlignment="1" applyProtection="1">
      <alignment horizontal="center" vertical="center" wrapText="1"/>
      <protection locked="0"/>
    </xf>
    <xf numFmtId="14" fontId="43" fillId="0" borderId="1" xfId="0" applyNumberFormat="1" applyFont="1" applyBorder="1" applyAlignment="1" applyProtection="1">
      <alignment horizontal="center" vertical="center" wrapText="1"/>
      <protection locked="0"/>
    </xf>
    <xf numFmtId="0" fontId="37" fillId="0" borderId="17" xfId="0" applyFont="1" applyBorder="1" applyAlignment="1">
      <alignment horizontal="justify" vertical="top" wrapText="1" readingOrder="1"/>
    </xf>
    <xf numFmtId="0" fontId="37" fillId="0" borderId="20" xfId="0" applyFont="1" applyBorder="1" applyAlignment="1">
      <alignment horizontal="justify" vertical="top" wrapText="1" readingOrder="1"/>
    </xf>
    <xf numFmtId="0" fontId="37" fillId="0" borderId="22" xfId="0" applyFont="1" applyBorder="1" applyAlignment="1">
      <alignment horizontal="justify" vertical="top" wrapText="1" readingOrder="1"/>
    </xf>
    <xf numFmtId="0" fontId="35" fillId="7" borderId="10" xfId="0" applyFont="1" applyFill="1" applyBorder="1" applyAlignment="1">
      <alignment horizontal="center" vertical="center" wrapText="1" readingOrder="1"/>
    </xf>
    <xf numFmtId="0" fontId="36" fillId="7" borderId="10" xfId="0" applyFont="1" applyFill="1" applyBorder="1" applyAlignment="1">
      <alignment horizontal="center" vertical="center"/>
    </xf>
    <xf numFmtId="0" fontId="37" fillId="2" borderId="10" xfId="0" applyFont="1" applyFill="1" applyBorder="1" applyAlignment="1">
      <alignment horizontal="center" vertical="center" wrapText="1" readingOrder="1"/>
    </xf>
    <xf numFmtId="0" fontId="14" fillId="22" borderId="11" xfId="0" applyFont="1" applyFill="1" applyBorder="1" applyAlignment="1">
      <alignment horizontal="center" vertical="center"/>
    </xf>
    <xf numFmtId="0" fontId="14" fillId="22" borderId="13" xfId="0" applyFont="1" applyFill="1" applyBorder="1" applyAlignment="1">
      <alignment horizontal="center" vertical="center" wrapText="1"/>
    </xf>
    <xf numFmtId="0" fontId="14" fillId="38" borderId="11" xfId="0" applyFont="1" applyFill="1" applyBorder="1" applyAlignment="1">
      <alignment horizontal="center" vertical="center"/>
    </xf>
    <xf numFmtId="0" fontId="14" fillId="38" borderId="12" xfId="0" applyFont="1" applyFill="1" applyBorder="1" applyAlignment="1">
      <alignment horizontal="center" vertical="center"/>
    </xf>
    <xf numFmtId="0" fontId="20" fillId="13" borderId="31" xfId="0" applyFont="1" applyFill="1" applyBorder="1" applyAlignment="1">
      <alignment horizontal="center" vertical="center" wrapText="1"/>
    </xf>
    <xf numFmtId="0" fontId="11" fillId="0" borderId="21" xfId="0" applyFont="1" applyBorder="1" applyAlignment="1">
      <alignment horizontal="center" vertical="center"/>
    </xf>
    <xf numFmtId="0" fontId="21" fillId="22" borderId="52" xfId="0" applyFont="1" applyFill="1" applyBorder="1" applyAlignment="1">
      <alignment horizontal="center" vertical="center"/>
    </xf>
    <xf numFmtId="0" fontId="21" fillId="22" borderId="56" xfId="0" applyFont="1" applyFill="1" applyBorder="1" applyAlignment="1">
      <alignment horizontal="center" vertical="center"/>
    </xf>
    <xf numFmtId="0" fontId="16" fillId="7" borderId="43" xfId="0" applyFont="1" applyFill="1" applyBorder="1" applyAlignment="1">
      <alignment horizontal="center" vertical="center"/>
    </xf>
    <xf numFmtId="0" fontId="19" fillId="7" borderId="1" xfId="0" applyFont="1" applyFill="1" applyBorder="1" applyAlignment="1">
      <alignment horizontal="justify" vertical="center" wrapText="1"/>
    </xf>
    <xf numFmtId="0" fontId="19" fillId="0" borderId="52" xfId="0" applyFont="1" applyBorder="1" applyAlignment="1">
      <alignment horizontal="center" vertical="center" wrapText="1"/>
    </xf>
    <xf numFmtId="0" fontId="19" fillId="0" borderId="56" xfId="0" applyFont="1" applyBorder="1" applyAlignment="1">
      <alignment horizontal="center" vertical="center" wrapText="1"/>
    </xf>
    <xf numFmtId="0" fontId="17" fillId="7" borderId="21" xfId="0" applyFont="1" applyFill="1" applyBorder="1" applyAlignment="1">
      <alignment horizontal="center" vertical="center"/>
    </xf>
    <xf numFmtId="9" fontId="17" fillId="7" borderId="18" xfId="0" applyNumberFormat="1" applyFont="1" applyFill="1" applyBorder="1" applyAlignment="1">
      <alignment horizontal="center" vertical="center"/>
    </xf>
    <xf numFmtId="0" fontId="19" fillId="7" borderId="33" xfId="0" applyFont="1" applyFill="1" applyBorder="1" applyAlignment="1">
      <alignment horizontal="center" vertical="center" wrapText="1"/>
    </xf>
    <xf numFmtId="0" fontId="20" fillId="3" borderId="37" xfId="0" applyFont="1" applyFill="1" applyBorder="1" applyAlignment="1">
      <alignment horizontal="center" vertical="center"/>
    </xf>
    <xf numFmtId="0" fontId="19" fillId="7" borderId="37" xfId="0" applyFont="1" applyFill="1" applyBorder="1" applyAlignment="1">
      <alignment horizontal="center" vertical="center"/>
    </xf>
    <xf numFmtId="0" fontId="44" fillId="0" borderId="1" xfId="0" applyFont="1" applyBorder="1" applyAlignment="1" applyProtection="1">
      <alignment horizontal="center" vertical="center" wrapText="1"/>
      <protection locked="0"/>
    </xf>
    <xf numFmtId="0" fontId="19" fillId="7" borderId="32" xfId="0" applyFont="1" applyFill="1" applyBorder="1" applyAlignment="1">
      <alignment horizontal="center" vertical="center" wrapText="1"/>
    </xf>
    <xf numFmtId="0" fontId="19" fillId="0" borderId="18" xfId="0" applyFont="1" applyBorder="1" applyAlignment="1">
      <alignment vertical="center" wrapText="1"/>
    </xf>
    <xf numFmtId="0" fontId="19" fillId="0" borderId="1" xfId="0" applyFont="1" applyBorder="1" applyAlignment="1">
      <alignment vertical="center" wrapText="1"/>
    </xf>
    <xf numFmtId="0" fontId="17" fillId="0" borderId="18" xfId="0" quotePrefix="1" applyFont="1" applyBorder="1" applyAlignment="1">
      <alignment horizontal="justify" vertical="center" wrapText="1"/>
    </xf>
    <xf numFmtId="0" fontId="17" fillId="0" borderId="1" xfId="0" applyFont="1" applyBorder="1" applyAlignment="1">
      <alignment horizontal="justify" vertical="center"/>
    </xf>
    <xf numFmtId="0" fontId="17" fillId="0" borderId="1" xfId="0" applyFont="1" applyBorder="1" applyAlignment="1">
      <alignment horizontal="justify" vertical="center" wrapText="1"/>
    </xf>
    <xf numFmtId="0" fontId="17" fillId="0" borderId="1" xfId="0" quotePrefix="1" applyFont="1" applyBorder="1" applyAlignment="1">
      <alignment horizontal="justify" vertical="center"/>
    </xf>
    <xf numFmtId="0" fontId="17" fillId="0" borderId="1" xfId="0" quotePrefix="1" applyFont="1" applyBorder="1" applyAlignment="1">
      <alignment horizontal="justify" vertical="center" wrapText="1"/>
    </xf>
    <xf numFmtId="0" fontId="17" fillId="7" borderId="1" xfId="0" applyFont="1" applyFill="1" applyBorder="1" applyAlignment="1">
      <alignment horizontal="justify" vertical="center" wrapText="1"/>
    </xf>
    <xf numFmtId="0" fontId="36" fillId="0" borderId="1" xfId="0" quotePrefix="1" applyFont="1" applyBorder="1" applyAlignment="1" applyProtection="1">
      <alignment horizontal="justify" vertical="center" wrapText="1"/>
      <protection locked="0"/>
    </xf>
    <xf numFmtId="14" fontId="19" fillId="0" borderId="18" xfId="0" applyNumberFormat="1" applyFont="1" applyBorder="1" applyAlignment="1">
      <alignment horizontal="center" vertical="center" wrapText="1"/>
    </xf>
    <xf numFmtId="0" fontId="19" fillId="9" borderId="25" xfId="0" applyFont="1" applyFill="1" applyBorder="1" applyAlignment="1">
      <alignment horizontal="center" vertical="center"/>
    </xf>
    <xf numFmtId="0" fontId="37" fillId="0" borderId="1" xfId="0" applyFont="1" applyBorder="1" applyAlignment="1">
      <alignment horizontal="center" vertical="center" wrapText="1" readingOrder="1"/>
    </xf>
    <xf numFmtId="0" fontId="37" fillId="0" borderId="1" xfId="0" applyFont="1" applyBorder="1" applyAlignment="1">
      <alignment horizontal="justify" vertical="center" wrapText="1" readingOrder="1"/>
    </xf>
    <xf numFmtId="0" fontId="17" fillId="7" borderId="0" xfId="0" applyFont="1" applyFill="1" applyAlignment="1">
      <alignment vertical="center"/>
    </xf>
    <xf numFmtId="9" fontId="14" fillId="7" borderId="0" xfId="0" applyNumberFormat="1" applyFont="1" applyFill="1" applyAlignment="1">
      <alignment horizontal="center" vertical="center"/>
    </xf>
    <xf numFmtId="0" fontId="37" fillId="0" borderId="17" xfId="0" applyFont="1" applyBorder="1" applyAlignment="1">
      <alignment horizontal="justify" vertical="center" wrapText="1" readingOrder="1"/>
    </xf>
    <xf numFmtId="0" fontId="37" fillId="2" borderId="19" xfId="0" applyFont="1" applyFill="1" applyBorder="1" applyAlignment="1">
      <alignment horizontal="center" vertical="center" wrapText="1" readingOrder="1"/>
    </xf>
    <xf numFmtId="0" fontId="37" fillId="0" borderId="20" xfId="0" applyFont="1" applyBorder="1" applyAlignment="1">
      <alignment horizontal="justify" vertical="center" wrapText="1" readingOrder="1"/>
    </xf>
    <xf numFmtId="0" fontId="37" fillId="4" borderId="21" xfId="0" applyFont="1" applyFill="1" applyBorder="1" applyAlignment="1">
      <alignment horizontal="center" vertical="center" wrapText="1" readingOrder="1"/>
    </xf>
    <xf numFmtId="0" fontId="37" fillId="17" borderId="21" xfId="0" applyFont="1" applyFill="1" applyBorder="1" applyAlignment="1">
      <alignment horizontal="center" vertical="center" wrapText="1" readingOrder="1"/>
    </xf>
    <xf numFmtId="0" fontId="37" fillId="19" borderId="21" xfId="0" applyFont="1" applyFill="1" applyBorder="1" applyAlignment="1">
      <alignment horizontal="center" vertical="center" wrapText="1" readingOrder="1"/>
    </xf>
    <xf numFmtId="0" fontId="37" fillId="0" borderId="22" xfId="0" applyFont="1" applyBorder="1" applyAlignment="1">
      <alignment horizontal="justify" vertical="center" wrapText="1" readingOrder="1"/>
    </xf>
    <xf numFmtId="0" fontId="38" fillId="6" borderId="24" xfId="0" applyFont="1" applyFill="1" applyBorder="1" applyAlignment="1">
      <alignment horizontal="center" vertical="center" wrapText="1" readingOrder="1"/>
    </xf>
    <xf numFmtId="0" fontId="37" fillId="0" borderId="56" xfId="0" applyFont="1" applyBorder="1" applyAlignment="1">
      <alignment horizontal="center" vertical="center" wrapText="1" readingOrder="1"/>
    </xf>
    <xf numFmtId="0" fontId="17" fillId="7" borderId="37" xfId="0" applyFont="1" applyFill="1" applyBorder="1" applyAlignment="1">
      <alignment horizontal="center" vertical="center"/>
    </xf>
    <xf numFmtId="0" fontId="17" fillId="7" borderId="37" xfId="0" applyFont="1" applyFill="1" applyBorder="1" applyAlignment="1">
      <alignment vertical="center" wrapText="1"/>
    </xf>
    <xf numFmtId="0" fontId="37" fillId="0" borderId="10" xfId="0" applyFont="1" applyBorder="1" applyAlignment="1">
      <alignment horizontal="justify" vertical="center" wrapText="1" readingOrder="1"/>
    </xf>
    <xf numFmtId="0" fontId="17" fillId="3" borderId="49" xfId="0" applyFont="1" applyFill="1" applyBorder="1" applyAlignment="1">
      <alignment horizontal="center" vertical="center"/>
    </xf>
    <xf numFmtId="0" fontId="17" fillId="3" borderId="49" xfId="0" applyFont="1" applyFill="1" applyBorder="1" applyAlignment="1">
      <alignment horizontal="center" vertical="center" wrapText="1"/>
    </xf>
    <xf numFmtId="0" fontId="14" fillId="18" borderId="1" xfId="0" applyFont="1" applyFill="1" applyBorder="1" applyAlignment="1">
      <alignment horizontal="center" vertical="center"/>
    </xf>
    <xf numFmtId="0" fontId="38" fillId="7" borderId="0" xfId="0" applyFont="1" applyFill="1" applyAlignment="1">
      <alignment horizontal="center" vertical="center" wrapText="1" readingOrder="1"/>
    </xf>
    <xf numFmtId="0" fontId="37" fillId="7" borderId="0" xfId="0" applyFont="1" applyFill="1" applyAlignment="1">
      <alignment horizontal="justify" vertical="top" wrapText="1" readingOrder="1"/>
    </xf>
    <xf numFmtId="0" fontId="37" fillId="7" borderId="0" xfId="0" applyFont="1" applyFill="1" applyAlignment="1">
      <alignment horizontal="justify" vertical="center" wrapText="1" readingOrder="1"/>
    </xf>
    <xf numFmtId="0" fontId="36" fillId="0" borderId="1" xfId="0" applyFont="1" applyBorder="1" applyAlignment="1" applyProtection="1">
      <alignment horizontal="center" vertical="center" wrapText="1"/>
      <protection locked="0"/>
    </xf>
    <xf numFmtId="0" fontId="19" fillId="7" borderId="19" xfId="0" applyFont="1" applyFill="1" applyBorder="1" applyAlignment="1">
      <alignment vertical="center" wrapText="1"/>
    </xf>
    <xf numFmtId="0" fontId="36" fillId="0" borderId="1" xfId="0" quotePrefix="1" applyFont="1" applyBorder="1" applyAlignment="1" applyProtection="1">
      <alignment horizontal="center" vertical="center" wrapText="1"/>
      <protection locked="0"/>
    </xf>
    <xf numFmtId="0" fontId="0" fillId="7" borderId="0" xfId="0" applyFill="1" applyAlignment="1">
      <alignment vertical="center"/>
    </xf>
    <xf numFmtId="0" fontId="36" fillId="0" borderId="49" xfId="0" applyFont="1" applyBorder="1" applyAlignment="1" applyProtection="1">
      <alignment vertical="center" wrapText="1"/>
      <protection locked="0"/>
    </xf>
    <xf numFmtId="0" fontId="36" fillId="0" borderId="1" xfId="0" applyFont="1" applyBorder="1" applyAlignment="1" applyProtection="1">
      <alignment vertical="center" wrapText="1"/>
      <protection locked="0"/>
    </xf>
    <xf numFmtId="0" fontId="19" fillId="7" borderId="10" xfId="0" applyFont="1" applyFill="1" applyBorder="1" applyAlignment="1">
      <alignment horizontal="center" vertical="center" wrapText="1"/>
    </xf>
    <xf numFmtId="0" fontId="19" fillId="7" borderId="21" xfId="0" applyFont="1" applyFill="1" applyBorder="1" applyAlignment="1">
      <alignment vertical="center" wrapText="1"/>
    </xf>
    <xf numFmtId="0" fontId="45" fillId="7" borderId="1"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9" fillId="0" borderId="0" xfId="0" applyFont="1"/>
    <xf numFmtId="9" fontId="19" fillId="0" borderId="1" xfId="1" applyFont="1" applyFill="1" applyBorder="1" applyAlignment="1">
      <alignment horizontal="center" vertical="center"/>
    </xf>
    <xf numFmtId="0" fontId="19" fillId="0" borderId="21" xfId="0" applyFont="1" applyBorder="1" applyAlignment="1">
      <alignment vertical="center"/>
    </xf>
    <xf numFmtId="0" fontId="21" fillId="7" borderId="1" xfId="0" applyFont="1" applyFill="1" applyBorder="1" applyAlignment="1">
      <alignment horizontal="center" vertical="center"/>
    </xf>
    <xf numFmtId="0" fontId="21" fillId="7" borderId="1" xfId="0" applyFont="1" applyFill="1" applyBorder="1" applyAlignment="1">
      <alignment horizontal="justify" vertical="center"/>
    </xf>
    <xf numFmtId="0" fontId="21" fillId="7" borderId="1" xfId="0" applyFont="1" applyFill="1" applyBorder="1" applyAlignment="1">
      <alignment horizontal="center" vertical="center" wrapText="1"/>
    </xf>
    <xf numFmtId="9" fontId="21" fillId="7" borderId="1" xfId="1" applyFont="1" applyFill="1" applyBorder="1" applyAlignment="1">
      <alignment horizontal="center" vertical="center" wrapText="1"/>
    </xf>
    <xf numFmtId="0" fontId="21" fillId="7" borderId="21" xfId="0" applyFont="1" applyFill="1" applyBorder="1" applyAlignment="1">
      <alignment horizontal="center" vertical="center" wrapText="1"/>
    </xf>
    <xf numFmtId="0" fontId="45" fillId="7" borderId="0" xfId="0" applyFont="1" applyFill="1"/>
    <xf numFmtId="0" fontId="47" fillId="0" borderId="1" xfId="3" applyFont="1" applyBorder="1" applyAlignment="1">
      <alignment horizontal="center" vertical="center" wrapText="1"/>
    </xf>
    <xf numFmtId="0" fontId="48" fillId="6" borderId="1" xfId="0" applyFont="1" applyFill="1" applyBorder="1" applyAlignment="1">
      <alignment horizontal="center" vertical="center" wrapText="1" readingOrder="1"/>
    </xf>
    <xf numFmtId="0" fontId="49" fillId="16" borderId="1" xfId="0" applyFont="1" applyFill="1" applyBorder="1" applyAlignment="1">
      <alignment horizontal="center" vertical="center" wrapText="1" readingOrder="1"/>
    </xf>
    <xf numFmtId="0" fontId="49" fillId="17" borderId="1" xfId="0" applyFont="1" applyFill="1" applyBorder="1" applyAlignment="1">
      <alignment horizontal="center" vertical="center" wrapText="1" readingOrder="1"/>
    </xf>
    <xf numFmtId="0" fontId="49" fillId="2" borderId="1" xfId="0" applyFont="1" applyFill="1" applyBorder="1" applyAlignment="1">
      <alignment horizontal="center" vertical="center" wrapText="1" readingOrder="1"/>
    </xf>
    <xf numFmtId="0" fontId="17" fillId="7" borderId="21" xfId="0" applyFont="1" applyFill="1" applyBorder="1" applyAlignment="1">
      <alignment horizontal="center" vertical="center" wrapText="1"/>
    </xf>
    <xf numFmtId="0" fontId="17" fillId="7" borderId="1" xfId="0" quotePrefix="1" applyFont="1" applyFill="1" applyBorder="1" applyAlignment="1">
      <alignment horizontal="center" vertical="center" wrapText="1"/>
    </xf>
    <xf numFmtId="0" fontId="16" fillId="7" borderId="19" xfId="0" applyFont="1" applyFill="1" applyBorder="1" applyAlignment="1">
      <alignment horizontal="center" vertical="center"/>
    </xf>
    <xf numFmtId="0" fontId="16" fillId="7" borderId="21" xfId="0" applyFont="1" applyFill="1" applyBorder="1" applyAlignment="1">
      <alignment horizontal="center" vertical="center"/>
    </xf>
    <xf numFmtId="14" fontId="16" fillId="7" borderId="24" xfId="0" applyNumberFormat="1" applyFont="1" applyFill="1" applyBorder="1" applyAlignment="1">
      <alignment horizontal="center" vertical="center"/>
    </xf>
    <xf numFmtId="0" fontId="29" fillId="7" borderId="4" xfId="0" applyFont="1" applyFill="1" applyBorder="1" applyAlignment="1">
      <alignment vertical="center"/>
    </xf>
    <xf numFmtId="0" fontId="29" fillId="7" borderId="0" xfId="0" applyFont="1" applyFill="1" applyAlignment="1">
      <alignment vertical="center"/>
    </xf>
    <xf numFmtId="0" fontId="29" fillId="7" borderId="6" xfId="0" applyFont="1" applyFill="1" applyBorder="1" applyAlignment="1">
      <alignment vertical="center"/>
    </xf>
    <xf numFmtId="0" fontId="29" fillId="7" borderId="8" xfId="0" applyFont="1" applyFill="1" applyBorder="1" applyAlignment="1">
      <alignment vertical="center"/>
    </xf>
    <xf numFmtId="0" fontId="29" fillId="7" borderId="9" xfId="0" applyFont="1" applyFill="1" applyBorder="1" applyAlignment="1">
      <alignment vertical="center"/>
    </xf>
    <xf numFmtId="0" fontId="16" fillId="7" borderId="17" xfId="0" applyFont="1" applyFill="1" applyBorder="1" applyAlignment="1">
      <alignment vertical="center"/>
    </xf>
    <xf numFmtId="0" fontId="16" fillId="7" borderId="20" xfId="0" applyFont="1" applyFill="1" applyBorder="1" applyAlignment="1">
      <alignment vertical="center"/>
    </xf>
    <xf numFmtId="0" fontId="16" fillId="7" borderId="22" xfId="0" applyFont="1" applyFill="1" applyBorder="1" applyAlignment="1">
      <alignment vertical="center"/>
    </xf>
    <xf numFmtId="0" fontId="3" fillId="7" borderId="2"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7" xfId="0" applyFont="1" applyFill="1" applyBorder="1" applyAlignment="1">
      <alignment horizontal="center" vertical="center"/>
    </xf>
    <xf numFmtId="0" fontId="21" fillId="7" borderId="3" xfId="0" applyFont="1" applyFill="1" applyBorder="1" applyAlignment="1">
      <alignment horizontal="center" vertical="center"/>
    </xf>
    <xf numFmtId="0" fontId="19" fillId="7" borderId="3" xfId="0" applyFont="1" applyFill="1" applyBorder="1"/>
    <xf numFmtId="0" fontId="19" fillId="7" borderId="8" xfId="0" applyFont="1" applyFill="1" applyBorder="1"/>
    <xf numFmtId="0" fontId="51" fillId="7" borderId="17" xfId="0" applyFont="1" applyFill="1" applyBorder="1" applyAlignment="1">
      <alignment vertical="center"/>
    </xf>
    <xf numFmtId="0" fontId="51" fillId="7" borderId="19" xfId="0" applyFont="1" applyFill="1" applyBorder="1" applyAlignment="1">
      <alignment horizontal="center" vertical="center"/>
    </xf>
    <xf numFmtId="0" fontId="51" fillId="7" borderId="20" xfId="0" applyFont="1" applyFill="1" applyBorder="1" applyAlignment="1">
      <alignment vertical="center"/>
    </xf>
    <xf numFmtId="0" fontId="51" fillId="7" borderId="21" xfId="0" applyFont="1" applyFill="1" applyBorder="1" applyAlignment="1">
      <alignment horizontal="center" vertical="center"/>
    </xf>
    <xf numFmtId="0" fontId="51" fillId="7" borderId="22" xfId="0" applyFont="1" applyFill="1" applyBorder="1" applyAlignment="1">
      <alignment vertical="center"/>
    </xf>
    <xf numFmtId="14" fontId="51" fillId="7" borderId="24" xfId="0" applyNumberFormat="1" applyFont="1" applyFill="1" applyBorder="1" applyAlignment="1">
      <alignment horizontal="center" vertical="center"/>
    </xf>
    <xf numFmtId="0" fontId="51" fillId="7" borderId="8" xfId="0" applyFont="1" applyFill="1" applyBorder="1" applyAlignment="1">
      <alignment vertical="center"/>
    </xf>
    <xf numFmtId="14" fontId="51" fillId="7" borderId="9" xfId="0" applyNumberFormat="1" applyFont="1" applyFill="1" applyBorder="1" applyAlignment="1">
      <alignment horizontal="center" vertical="center"/>
    </xf>
    <xf numFmtId="0" fontId="20" fillId="7" borderId="17" xfId="0" applyFont="1" applyFill="1" applyBorder="1" applyAlignment="1">
      <alignment horizontal="center" vertical="center"/>
    </xf>
    <xf numFmtId="0" fontId="19" fillId="0" borderId="18" xfId="0" applyFont="1" applyBorder="1" applyAlignment="1">
      <alignment horizontal="justify" vertical="center" wrapText="1"/>
    </xf>
    <xf numFmtId="0" fontId="20" fillId="7" borderId="20" xfId="0" applyFont="1" applyFill="1" applyBorder="1" applyAlignment="1">
      <alignment horizontal="center" vertical="center"/>
    </xf>
    <xf numFmtId="0" fontId="19" fillId="0" borderId="1" xfId="0" applyFont="1" applyBorder="1" applyAlignment="1">
      <alignment horizontal="justify" vertical="center" wrapText="1"/>
    </xf>
    <xf numFmtId="0" fontId="21" fillId="0" borderId="1" xfId="0" applyFont="1" applyBorder="1" applyAlignment="1" applyProtection="1">
      <alignment horizontal="center" vertical="center" wrapText="1"/>
      <protection locked="0"/>
    </xf>
    <xf numFmtId="0" fontId="36" fillId="0" borderId="33" xfId="0" quotePrefix="1" applyFont="1" applyBorder="1" applyAlignment="1" applyProtection="1">
      <alignment horizontal="center" vertical="center" wrapText="1"/>
      <protection locked="0"/>
    </xf>
    <xf numFmtId="0" fontId="35" fillId="7" borderId="18" xfId="0" applyFont="1" applyFill="1" applyBorder="1" applyAlignment="1">
      <alignment horizontal="center" vertical="center" wrapText="1"/>
    </xf>
    <xf numFmtId="0" fontId="52" fillId="7" borderId="19" xfId="0" applyFont="1" applyFill="1" applyBorder="1" applyAlignment="1">
      <alignment horizontal="center" vertical="center"/>
    </xf>
    <xf numFmtId="14" fontId="19" fillId="7" borderId="24" xfId="0" applyNumberFormat="1" applyFont="1" applyFill="1" applyBorder="1" applyAlignment="1">
      <alignment horizontal="center" vertical="center"/>
    </xf>
    <xf numFmtId="9" fontId="19" fillId="0" borderId="1" xfId="0" applyNumberFormat="1" applyFont="1" applyBorder="1" applyAlignment="1">
      <alignment horizontal="center" vertical="center" wrapText="1"/>
    </xf>
    <xf numFmtId="9" fontId="21" fillId="0" borderId="1" xfId="0" applyNumberFormat="1" applyFont="1" applyBorder="1" applyAlignment="1" applyProtection="1">
      <alignment horizontal="center" vertical="center" wrapText="1"/>
      <protection locked="0"/>
    </xf>
    <xf numFmtId="9" fontId="19" fillId="0" borderId="18" xfId="0" applyNumberFormat="1" applyFont="1" applyBorder="1" applyAlignment="1">
      <alignment horizontal="center" vertical="center" wrapText="1"/>
    </xf>
    <xf numFmtId="0" fontId="17" fillId="0" borderId="1" xfId="0" applyFont="1" applyBorder="1" applyAlignment="1">
      <alignment horizontal="justify" vertical="top" wrapText="1"/>
    </xf>
    <xf numFmtId="9" fontId="19" fillId="0" borderId="10" xfId="0" applyNumberFormat="1" applyFont="1" applyBorder="1" applyAlignment="1">
      <alignment horizontal="center" vertical="center" wrapText="1"/>
    </xf>
    <xf numFmtId="0" fontId="20" fillId="26" borderId="12" xfId="0" applyFont="1" applyFill="1" applyBorder="1" applyAlignment="1">
      <alignment horizontal="center" vertical="center" wrapText="1"/>
    </xf>
    <xf numFmtId="0" fontId="50" fillId="7" borderId="3" xfId="0" applyFont="1" applyFill="1" applyBorder="1" applyAlignment="1">
      <alignment horizontal="center" vertical="center"/>
    </xf>
    <xf numFmtId="0" fontId="50" fillId="7" borderId="0" xfId="0" applyFont="1" applyFill="1" applyAlignment="1">
      <alignment horizontal="center" vertical="center"/>
    </xf>
    <xf numFmtId="0" fontId="50" fillId="7" borderId="8" xfId="0" applyFont="1" applyFill="1" applyBorder="1" applyAlignment="1">
      <alignment horizontal="center" vertical="center"/>
    </xf>
    <xf numFmtId="0" fontId="53" fillId="0" borderId="1" xfId="0" applyFont="1" applyBorder="1" applyAlignment="1">
      <alignment horizontal="center" vertical="center" wrapText="1"/>
    </xf>
    <xf numFmtId="0" fontId="19" fillId="7" borderId="0" xfId="0" applyFont="1" applyFill="1" applyAlignment="1">
      <alignment horizontal="justify" vertical="center"/>
    </xf>
    <xf numFmtId="0" fontId="54" fillId="7" borderId="17" xfId="0" applyFont="1" applyFill="1" applyBorder="1" applyAlignment="1">
      <alignment horizontal="justify" vertical="center" wrapText="1"/>
    </xf>
    <xf numFmtId="0" fontId="19" fillId="25" borderId="1" xfId="0" applyFont="1" applyFill="1" applyBorder="1" applyAlignment="1">
      <alignment horizontal="center" vertical="center" wrapText="1"/>
    </xf>
    <xf numFmtId="0" fontId="17" fillId="7" borderId="17" xfId="0" applyFont="1" applyFill="1" applyBorder="1" applyAlignment="1">
      <alignment horizontal="justify" vertical="center"/>
    </xf>
    <xf numFmtId="0" fontId="17" fillId="7" borderId="62" xfId="0" applyFont="1" applyFill="1" applyBorder="1" applyAlignment="1">
      <alignment horizontal="justify" vertical="center"/>
    </xf>
    <xf numFmtId="0" fontId="55"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21" fillId="0" borderId="23" xfId="0" applyFont="1" applyBorder="1" applyAlignment="1">
      <alignment horizontal="justify" vertical="center" wrapText="1"/>
    </xf>
    <xf numFmtId="0" fontId="20" fillId="35" borderId="28" xfId="0" applyFont="1" applyFill="1" applyBorder="1" applyAlignment="1">
      <alignment horizontal="center" vertical="center"/>
    </xf>
    <xf numFmtId="0" fontId="20" fillId="35" borderId="36" xfId="0" applyFont="1" applyFill="1" applyBorder="1" applyAlignment="1">
      <alignment horizontal="center" vertical="center"/>
    </xf>
    <xf numFmtId="0" fontId="20" fillId="35" borderId="33" xfId="0" applyFont="1" applyFill="1" applyBorder="1" applyAlignment="1">
      <alignment horizontal="center" vertical="center"/>
    </xf>
    <xf numFmtId="0" fontId="20" fillId="35" borderId="27" xfId="0" applyFont="1" applyFill="1" applyBorder="1" applyAlignment="1">
      <alignment horizontal="center" vertical="center"/>
    </xf>
    <xf numFmtId="0" fontId="20" fillId="35" borderId="3" xfId="0" applyFont="1" applyFill="1" applyBorder="1" applyAlignment="1">
      <alignment horizontal="center" vertical="center"/>
    </xf>
    <xf numFmtId="0" fontId="20" fillId="35" borderId="35" xfId="0" applyFont="1" applyFill="1" applyBorder="1" applyAlignment="1">
      <alignment horizontal="center" vertical="center"/>
    </xf>
    <xf numFmtId="0" fontId="16" fillId="3" borderId="1" xfId="0" applyFont="1" applyFill="1" applyBorder="1" applyAlignment="1">
      <alignment horizontal="justify" vertical="center" wrapText="1"/>
    </xf>
    <xf numFmtId="0" fontId="16" fillId="3" borderId="1" xfId="0" applyFont="1" applyFill="1" applyBorder="1" applyAlignment="1">
      <alignment horizontal="center" vertical="center" wrapText="1"/>
    </xf>
    <xf numFmtId="0" fontId="19" fillId="3" borderId="1" xfId="0" applyFont="1" applyFill="1" applyBorder="1" applyAlignment="1">
      <alignment horizontal="justify" vertical="center"/>
    </xf>
    <xf numFmtId="0" fontId="19" fillId="3" borderId="1" xfId="0" applyFont="1" applyFill="1" applyBorder="1" applyAlignment="1">
      <alignment horizontal="center" vertical="center" wrapText="1"/>
    </xf>
    <xf numFmtId="9" fontId="19" fillId="3" borderId="1" xfId="1" applyFont="1" applyFill="1" applyBorder="1" applyAlignment="1">
      <alignment horizontal="center" vertical="center" wrapText="1"/>
    </xf>
    <xf numFmtId="0" fontId="19" fillId="3" borderId="21" xfId="0" applyFont="1" applyFill="1" applyBorder="1" applyAlignment="1">
      <alignment horizontal="center" vertical="center" wrapText="1"/>
    </xf>
    <xf numFmtId="0" fontId="20" fillId="3" borderId="21" xfId="0" applyFont="1" applyFill="1" applyBorder="1" applyAlignment="1">
      <alignment horizontal="center" vertical="center" wrapText="1"/>
    </xf>
    <xf numFmtId="9" fontId="21"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lignment horizontal="justify" vertical="center" wrapText="1"/>
    </xf>
    <xf numFmtId="0" fontId="20" fillId="7" borderId="22" xfId="0" applyFont="1" applyFill="1" applyBorder="1" applyAlignment="1">
      <alignment horizontal="center" vertical="center"/>
    </xf>
    <xf numFmtId="0" fontId="19" fillId="0" borderId="23" xfId="0" applyFont="1" applyBorder="1" applyAlignment="1">
      <alignment horizontal="justify" vertical="center" wrapText="1"/>
    </xf>
    <xf numFmtId="0" fontId="19" fillId="0" borderId="23" xfId="0" applyFont="1" applyBorder="1" applyAlignment="1">
      <alignment horizontal="center" vertical="center" wrapText="1"/>
    </xf>
    <xf numFmtId="43" fontId="19" fillId="0" borderId="23" xfId="2" applyFont="1" applyBorder="1" applyAlignment="1">
      <alignment horizontal="center" vertical="center" wrapText="1"/>
    </xf>
    <xf numFmtId="0" fontId="51" fillId="7" borderId="0" xfId="0" applyFont="1" applyFill="1" applyAlignment="1">
      <alignment horizontal="right" vertical="center"/>
    </xf>
    <xf numFmtId="0" fontId="51" fillId="7" borderId="3" xfId="0" applyFont="1" applyFill="1" applyBorder="1" applyAlignment="1">
      <alignment horizontal="right" vertical="center"/>
    </xf>
    <xf numFmtId="0" fontId="51" fillId="7" borderId="8" xfId="0" applyFont="1" applyFill="1" applyBorder="1" applyAlignment="1">
      <alignment horizontal="right" vertical="center"/>
    </xf>
    <xf numFmtId="0" fontId="51" fillId="7" borderId="42" xfId="0" applyFont="1" applyFill="1" applyBorder="1" applyAlignment="1">
      <alignment horizontal="center" vertical="center"/>
    </xf>
    <xf numFmtId="0" fontId="51" fillId="7" borderId="43" xfId="0" applyFont="1" applyFill="1" applyBorder="1" applyAlignment="1">
      <alignment horizontal="center" vertical="center"/>
    </xf>
    <xf numFmtId="14" fontId="51" fillId="7" borderId="44" xfId="0" applyNumberFormat="1" applyFont="1" applyFill="1" applyBorder="1" applyAlignment="1">
      <alignment horizontal="center" vertical="center"/>
    </xf>
    <xf numFmtId="0" fontId="21" fillId="0" borderId="10" xfId="0" applyFont="1" applyBorder="1" applyAlignment="1">
      <alignment horizontal="justify" vertical="center" wrapText="1"/>
    </xf>
    <xf numFmtId="0" fontId="20" fillId="0" borderId="47" xfId="0" applyFont="1" applyBorder="1" applyAlignment="1">
      <alignment horizontal="center" vertical="center" wrapText="1"/>
    </xf>
    <xf numFmtId="0" fontId="20" fillId="33" borderId="41" xfId="0" applyFont="1" applyFill="1" applyBorder="1" applyAlignment="1">
      <alignment horizontal="center" vertical="center"/>
    </xf>
    <xf numFmtId="0" fontId="20" fillId="33" borderId="63" xfId="0" applyFont="1" applyFill="1" applyBorder="1" applyAlignment="1">
      <alignment horizontal="center" vertical="center"/>
    </xf>
    <xf numFmtId="9" fontId="19" fillId="0" borderId="23" xfId="0" applyNumberFormat="1" applyFont="1" applyBorder="1" applyAlignment="1">
      <alignment horizontal="center" vertical="center" wrapText="1"/>
    </xf>
    <xf numFmtId="9" fontId="21" fillId="7" borderId="1" xfId="0" applyNumberFormat="1" applyFont="1" applyFill="1" applyBorder="1" applyAlignment="1" applyProtection="1">
      <alignment horizontal="center" vertical="center" wrapText="1"/>
      <protection locked="0"/>
    </xf>
    <xf numFmtId="0" fontId="21" fillId="7" borderId="1" xfId="0" applyFont="1" applyFill="1" applyBorder="1" applyAlignment="1">
      <alignment horizontal="justify" vertical="center" wrapText="1"/>
    </xf>
    <xf numFmtId="9" fontId="19" fillId="0" borderId="23" xfId="2" applyNumberFormat="1" applyFont="1" applyBorder="1" applyAlignment="1">
      <alignment horizontal="center" vertical="center" wrapText="1"/>
    </xf>
    <xf numFmtId="0" fontId="17" fillId="7" borderId="1" xfId="0" quotePrefix="1" applyFont="1" applyFill="1" applyBorder="1" applyAlignment="1">
      <alignment horizontal="justify" vertical="center" wrapText="1"/>
    </xf>
    <xf numFmtId="0" fontId="16" fillId="7" borderId="1" xfId="4" applyFont="1" applyFill="1" applyBorder="1" applyAlignment="1">
      <alignment horizontal="center" vertical="center" wrapText="1"/>
    </xf>
    <xf numFmtId="0" fontId="21" fillId="0" borderId="1" xfId="0" applyFont="1" applyBorder="1" applyAlignment="1">
      <alignment horizontal="center" vertical="center" wrapText="1"/>
    </xf>
    <xf numFmtId="0" fontId="19" fillId="0" borderId="17"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justify" vertical="center" wrapText="1"/>
    </xf>
    <xf numFmtId="0" fontId="19" fillId="0" borderId="1" xfId="0" applyFont="1" applyFill="1" applyBorder="1" applyAlignment="1">
      <alignment horizontal="center" vertical="center"/>
    </xf>
    <xf numFmtId="9" fontId="19" fillId="0" borderId="1" xfId="1" applyFont="1" applyFill="1" applyBorder="1" applyAlignment="1">
      <alignment horizontal="center" vertical="center" wrapText="1"/>
    </xf>
    <xf numFmtId="0" fontId="21" fillId="0" borderId="1" xfId="0" applyFont="1" applyFill="1" applyBorder="1" applyAlignment="1">
      <alignment horizontal="center" vertical="center"/>
    </xf>
    <xf numFmtId="0" fontId="19" fillId="0" borderId="37" xfId="0" applyFont="1" applyFill="1" applyBorder="1" applyAlignment="1">
      <alignment horizontal="center" vertical="center" wrapText="1"/>
    </xf>
    <xf numFmtId="0" fontId="17" fillId="0" borderId="1" xfId="0" quotePrefix="1" applyFont="1" applyFill="1" applyBorder="1" applyAlignment="1">
      <alignment horizontal="justify" vertical="center" wrapText="1"/>
    </xf>
    <xf numFmtId="14" fontId="19" fillId="0" borderId="1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19" fillId="0" borderId="0" xfId="0" applyFont="1" applyFill="1"/>
    <xf numFmtId="0" fontId="19" fillId="9" borderId="1" xfId="0" applyFont="1" applyFill="1" applyBorder="1" applyAlignment="1">
      <alignment horizontal="center" vertical="center" wrapText="1"/>
    </xf>
    <xf numFmtId="0" fontId="19" fillId="9" borderId="1" xfId="0" applyFont="1" applyFill="1" applyBorder="1" applyAlignment="1">
      <alignment horizontal="justify" vertical="center" wrapText="1"/>
    </xf>
    <xf numFmtId="0" fontId="19" fillId="9" borderId="1" xfId="0" applyFont="1" applyFill="1" applyBorder="1" applyAlignment="1">
      <alignment horizontal="center" vertical="center"/>
    </xf>
    <xf numFmtId="9" fontId="19" fillId="9" borderId="1" xfId="1" applyFont="1" applyFill="1" applyBorder="1" applyAlignment="1">
      <alignment horizontal="center" vertical="center" wrapText="1"/>
    </xf>
    <xf numFmtId="0" fontId="16" fillId="9" borderId="43" xfId="0" applyFont="1" applyFill="1" applyBorder="1" applyAlignment="1">
      <alignment horizontal="center" vertical="center"/>
    </xf>
    <xf numFmtId="0" fontId="21" fillId="9" borderId="56" xfId="0" applyFont="1" applyFill="1" applyBorder="1" applyAlignment="1">
      <alignment horizontal="center" vertical="center"/>
    </xf>
    <xf numFmtId="0" fontId="19" fillId="9" borderId="1" xfId="0" applyFont="1" applyFill="1" applyBorder="1" applyAlignment="1">
      <alignment horizontal="justify" vertical="center"/>
    </xf>
    <xf numFmtId="0" fontId="19" fillId="9" borderId="21" xfId="0" applyFont="1" applyFill="1" applyBorder="1" applyAlignment="1">
      <alignment horizontal="center" vertical="center" wrapText="1"/>
    </xf>
    <xf numFmtId="0" fontId="16" fillId="9" borderId="42" xfId="0" applyFont="1" applyFill="1" applyBorder="1" applyAlignment="1">
      <alignment horizontal="center" vertical="center"/>
    </xf>
    <xf numFmtId="0" fontId="56" fillId="7" borderId="1" xfId="4" applyFill="1" applyBorder="1" applyAlignment="1">
      <alignment vertical="center" wrapText="1"/>
    </xf>
    <xf numFmtId="0" fontId="36" fillId="0" borderId="1" xfId="0" quotePrefix="1" applyFont="1" applyFill="1" applyBorder="1" applyAlignment="1" applyProtection="1">
      <alignment horizontal="justify" vertical="center" wrapText="1"/>
      <protection locked="0"/>
    </xf>
    <xf numFmtId="0" fontId="44" fillId="0" borderId="1" xfId="0" applyFont="1" applyFill="1" applyBorder="1" applyAlignment="1" applyProtection="1">
      <alignment horizontal="center" vertical="center" wrapText="1"/>
      <protection locked="0"/>
    </xf>
    <xf numFmtId="0" fontId="53" fillId="0" borderId="1" xfId="0" applyFont="1" applyFill="1" applyBorder="1" applyAlignment="1">
      <alignment horizontal="center" vertical="center" wrapText="1"/>
    </xf>
    <xf numFmtId="0" fontId="20" fillId="26" borderId="4" xfId="0" applyFont="1" applyFill="1" applyBorder="1" applyAlignment="1">
      <alignment horizontal="center" vertical="center" wrapText="1"/>
    </xf>
    <xf numFmtId="0" fontId="16" fillId="7" borderId="10" xfId="4" applyFont="1" applyFill="1" applyBorder="1" applyAlignment="1">
      <alignment horizontal="center" vertical="center" wrapText="1"/>
    </xf>
    <xf numFmtId="0" fontId="20" fillId="26" borderId="39" xfId="0" applyFont="1" applyFill="1" applyBorder="1" applyAlignment="1">
      <alignment horizontal="center" vertical="center" wrapText="1"/>
    </xf>
    <xf numFmtId="0" fontId="57" fillId="7" borderId="17" xfId="0" applyFont="1" applyFill="1" applyBorder="1" applyAlignment="1">
      <alignment horizontal="justify" vertical="center" wrapText="1"/>
    </xf>
    <xf numFmtId="0" fontId="19" fillId="0" borderId="20" xfId="0" applyFont="1" applyFill="1" applyBorder="1" applyAlignment="1">
      <alignment horizontal="center" vertical="center"/>
    </xf>
    <xf numFmtId="0" fontId="17" fillId="0" borderId="1" xfId="0" quotePrefix="1" applyFont="1" applyFill="1" applyBorder="1" applyAlignment="1">
      <alignment horizontal="justify" vertical="center"/>
    </xf>
    <xf numFmtId="0" fontId="19" fillId="3" borderId="20" xfId="0" applyFont="1" applyFill="1" applyBorder="1" applyAlignment="1">
      <alignment horizontal="center" vertical="center"/>
    </xf>
    <xf numFmtId="0" fontId="19" fillId="3" borderId="1" xfId="0" applyFont="1" applyFill="1" applyBorder="1" applyAlignment="1">
      <alignment horizontal="justify" vertical="center" wrapText="1"/>
    </xf>
    <xf numFmtId="9" fontId="19" fillId="3" borderId="1" xfId="1" applyFont="1" applyFill="1" applyBorder="1" applyAlignment="1">
      <alignment horizontal="center" vertical="center"/>
    </xf>
    <xf numFmtId="0" fontId="21" fillId="3" borderId="1" xfId="0" applyFont="1" applyFill="1" applyBorder="1" applyAlignment="1">
      <alignment horizontal="center" vertical="center"/>
    </xf>
    <xf numFmtId="0" fontId="19" fillId="3" borderId="37" xfId="0" applyFont="1" applyFill="1" applyBorder="1" applyAlignment="1">
      <alignment horizontal="center" vertical="center" wrapText="1"/>
    </xf>
    <xf numFmtId="0" fontId="17" fillId="3" borderId="1" xfId="0" applyFont="1" applyFill="1" applyBorder="1" applyAlignment="1">
      <alignment horizontal="justify" vertical="center" wrapText="1"/>
    </xf>
    <xf numFmtId="0" fontId="45" fillId="3" borderId="1" xfId="0" applyFont="1" applyFill="1" applyBorder="1" applyAlignment="1">
      <alignment horizontal="center" vertical="center" wrapText="1"/>
    </xf>
    <xf numFmtId="14" fontId="19" fillId="3" borderId="18" xfId="0" applyNumberFormat="1" applyFont="1" applyFill="1" applyBorder="1" applyAlignment="1">
      <alignment horizontal="center" vertical="center" wrapText="1"/>
    </xf>
    <xf numFmtId="9" fontId="19"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15" fillId="7" borderId="2" xfId="0" applyFont="1" applyFill="1" applyBorder="1" applyAlignment="1">
      <alignment horizontal="center" vertical="center"/>
    </xf>
    <xf numFmtId="0" fontId="15" fillId="7" borderId="3" xfId="0" applyFont="1" applyFill="1" applyBorder="1" applyAlignment="1">
      <alignment horizontal="center" vertical="center"/>
    </xf>
    <xf numFmtId="0" fontId="15" fillId="7" borderId="4" xfId="0" applyFont="1" applyFill="1" applyBorder="1" applyAlignment="1">
      <alignment horizontal="center" vertical="center"/>
    </xf>
    <xf numFmtId="0" fontId="15" fillId="7" borderId="5" xfId="0" applyFont="1" applyFill="1" applyBorder="1" applyAlignment="1">
      <alignment horizontal="center" vertical="center"/>
    </xf>
    <xf numFmtId="0" fontId="15" fillId="7" borderId="0" xfId="0" applyFont="1" applyFill="1" applyAlignment="1">
      <alignment horizontal="center" vertical="center"/>
    </xf>
    <xf numFmtId="0" fontId="15" fillId="7" borderId="6" xfId="0" applyFont="1" applyFill="1" applyBorder="1" applyAlignment="1">
      <alignment horizontal="center" vertical="center"/>
    </xf>
    <xf numFmtId="0" fontId="15" fillId="7" borderId="7" xfId="0" applyFont="1" applyFill="1" applyBorder="1" applyAlignment="1">
      <alignment horizontal="center" vertical="center"/>
    </xf>
    <xf numFmtId="0" fontId="15" fillId="7" borderId="8" xfId="0" applyFont="1" applyFill="1" applyBorder="1" applyAlignment="1">
      <alignment horizontal="center" vertical="center"/>
    </xf>
    <xf numFmtId="0" fontId="15" fillId="7" borderId="9" xfId="0" applyFont="1" applyFill="1" applyBorder="1" applyAlignment="1">
      <alignment horizontal="center" vertical="center"/>
    </xf>
    <xf numFmtId="0" fontId="15" fillId="8" borderId="2" xfId="0" applyFont="1" applyFill="1" applyBorder="1" applyAlignment="1">
      <alignment horizontal="center" vertical="center"/>
    </xf>
    <xf numFmtId="0" fontId="15" fillId="8" borderId="3" xfId="0" applyFont="1" applyFill="1" applyBorder="1" applyAlignment="1">
      <alignment horizontal="center" vertical="center"/>
    </xf>
    <xf numFmtId="0" fontId="15" fillId="8" borderId="4" xfId="0" applyFont="1" applyFill="1" applyBorder="1" applyAlignment="1">
      <alignment horizontal="center" vertical="center"/>
    </xf>
    <xf numFmtId="0" fontId="15" fillId="8" borderId="7" xfId="0" applyFont="1" applyFill="1" applyBorder="1" applyAlignment="1">
      <alignment horizontal="center" vertical="center"/>
    </xf>
    <xf numFmtId="0" fontId="15" fillId="8" borderId="8" xfId="0" applyFont="1" applyFill="1" applyBorder="1" applyAlignment="1">
      <alignment horizontal="center" vertical="center"/>
    </xf>
    <xf numFmtId="0" fontId="15" fillId="8" borderId="9" xfId="0" applyFont="1" applyFill="1" applyBorder="1" applyAlignment="1">
      <alignment horizontal="center" vertical="center"/>
    </xf>
    <xf numFmtId="0" fontId="15" fillId="8" borderId="45"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5" fillId="7" borderId="0" xfId="0" applyFont="1" applyFill="1" applyAlignment="1">
      <alignment horizontal="center" vertical="center" wrapText="1"/>
    </xf>
    <xf numFmtId="0" fontId="28" fillId="7" borderId="3" xfId="0" applyFont="1" applyFill="1" applyBorder="1" applyAlignment="1">
      <alignment horizontal="center" vertical="center"/>
    </xf>
    <xf numFmtId="0" fontId="28" fillId="7" borderId="0" xfId="0" applyFont="1" applyFill="1" applyAlignment="1">
      <alignment horizontal="center" vertical="center"/>
    </xf>
    <xf numFmtId="0" fontId="28" fillId="7" borderId="8" xfId="0" applyFont="1" applyFill="1" applyBorder="1" applyAlignment="1">
      <alignment horizontal="center" vertical="center"/>
    </xf>
    <xf numFmtId="0" fontId="16" fillId="7" borderId="41" xfId="0" applyFont="1" applyFill="1" applyBorder="1" applyAlignment="1">
      <alignment horizontal="center" vertical="center"/>
    </xf>
    <xf numFmtId="0" fontId="16" fillId="7" borderId="40" xfId="0" applyFont="1" applyFill="1" applyBorder="1" applyAlignment="1">
      <alignment horizontal="center" vertical="center"/>
    </xf>
    <xf numFmtId="0" fontId="16" fillId="7" borderId="52" xfId="0" applyFont="1" applyFill="1" applyBorder="1" applyAlignment="1">
      <alignment horizontal="center" vertical="center"/>
    </xf>
    <xf numFmtId="0" fontId="16" fillId="7" borderId="25" xfId="0" applyFont="1" applyFill="1" applyBorder="1" applyAlignment="1">
      <alignment horizontal="center" vertical="center"/>
    </xf>
    <xf numFmtId="0" fontId="16" fillId="7" borderId="50" xfId="0" applyFont="1" applyFill="1" applyBorder="1" applyAlignment="1">
      <alignment horizontal="center" vertical="center"/>
    </xf>
    <xf numFmtId="0" fontId="16" fillId="7" borderId="56" xfId="0" applyFont="1" applyFill="1" applyBorder="1" applyAlignment="1">
      <alignment horizontal="center" vertical="center"/>
    </xf>
    <xf numFmtId="0" fontId="16" fillId="7" borderId="26" xfId="0" applyFont="1" applyFill="1" applyBorder="1" applyAlignment="1">
      <alignment horizontal="center" vertical="center"/>
    </xf>
    <xf numFmtId="0" fontId="16" fillId="7" borderId="60" xfId="0" applyFont="1" applyFill="1" applyBorder="1" applyAlignment="1">
      <alignment horizontal="center" vertical="center"/>
    </xf>
    <xf numFmtId="0" fontId="16" fillId="7" borderId="55" xfId="0" applyFont="1" applyFill="1" applyBorder="1" applyAlignment="1">
      <alignment horizontal="center" vertical="center"/>
    </xf>
    <xf numFmtId="0" fontId="23" fillId="34" borderId="3" xfId="0" applyFont="1" applyFill="1" applyBorder="1" applyAlignment="1">
      <alignment horizontal="center" vertical="center"/>
    </xf>
    <xf numFmtId="0" fontId="29" fillId="7" borderId="2" xfId="0" applyFont="1" applyFill="1" applyBorder="1" applyAlignment="1">
      <alignment horizontal="center" vertical="center"/>
    </xf>
    <xf numFmtId="0" fontId="29" fillId="7" borderId="3" xfId="0" applyFont="1" applyFill="1" applyBorder="1" applyAlignment="1">
      <alignment horizontal="center" vertical="center"/>
    </xf>
    <xf numFmtId="0" fontId="29" fillId="7" borderId="4" xfId="0" applyFont="1" applyFill="1" applyBorder="1" applyAlignment="1">
      <alignment horizontal="center" vertical="center"/>
    </xf>
    <xf numFmtId="0" fontId="29" fillId="7" borderId="5" xfId="0" applyFont="1" applyFill="1" applyBorder="1" applyAlignment="1">
      <alignment horizontal="center" vertical="center"/>
    </xf>
    <xf numFmtId="0" fontId="29" fillId="7" borderId="0" xfId="0" applyFont="1" applyFill="1" applyAlignment="1">
      <alignment horizontal="center" vertical="center"/>
    </xf>
    <xf numFmtId="0" fontId="29" fillId="7" borderId="6" xfId="0" applyFont="1" applyFill="1" applyBorder="1" applyAlignment="1">
      <alignment horizontal="center" vertical="center"/>
    </xf>
    <xf numFmtId="0" fontId="29" fillId="7" borderId="7" xfId="0" applyFont="1" applyFill="1" applyBorder="1" applyAlignment="1">
      <alignment horizontal="center" vertical="center"/>
    </xf>
    <xf numFmtId="0" fontId="29" fillId="7" borderId="8" xfId="0" applyFont="1" applyFill="1" applyBorder="1" applyAlignment="1">
      <alignment horizontal="center" vertical="center"/>
    </xf>
    <xf numFmtId="0" fontId="29" fillId="7" borderId="9" xfId="0" applyFont="1" applyFill="1" applyBorder="1" applyAlignment="1">
      <alignment horizontal="center" vertical="center"/>
    </xf>
    <xf numFmtId="0" fontId="15" fillId="12" borderId="35" xfId="0" applyFont="1" applyFill="1" applyBorder="1" applyAlignment="1">
      <alignment horizontal="center" vertical="center" wrapText="1"/>
    </xf>
    <xf numFmtId="0" fontId="15" fillId="12" borderId="57" xfId="0" applyFont="1" applyFill="1" applyBorder="1" applyAlignment="1">
      <alignment horizontal="center" vertical="center" wrapText="1"/>
    </xf>
    <xf numFmtId="0" fontId="23" fillId="7" borderId="0" xfId="0" applyFont="1" applyFill="1" applyAlignment="1">
      <alignment horizontal="center" vertical="center"/>
    </xf>
    <xf numFmtId="0" fontId="20" fillId="7" borderId="46"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20" fillId="7" borderId="13" xfId="0" applyFont="1" applyFill="1" applyBorder="1" applyAlignment="1">
      <alignment horizontal="center" vertical="center" wrapText="1"/>
    </xf>
    <xf numFmtId="0" fontId="20" fillId="7" borderId="11" xfId="0" applyFont="1" applyFill="1" applyBorder="1" applyAlignment="1">
      <alignment horizontal="center" vertical="center" wrapText="1"/>
    </xf>
    <xf numFmtId="0" fontId="20" fillId="7" borderId="45" xfId="0" applyFont="1" applyFill="1" applyBorder="1" applyAlignment="1">
      <alignment horizontal="center" vertical="center" wrapText="1"/>
    </xf>
    <xf numFmtId="0" fontId="20" fillId="7" borderId="52" xfId="0" applyFont="1" applyFill="1" applyBorder="1" applyAlignment="1">
      <alignment horizontal="center" vertical="center" wrapText="1"/>
    </xf>
    <xf numFmtId="0" fontId="20" fillId="7" borderId="18"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20" borderId="42" xfId="0" applyFont="1" applyFill="1" applyBorder="1" applyAlignment="1">
      <alignment horizontal="center" vertical="center" wrapText="1"/>
    </xf>
    <xf numFmtId="0" fontId="20" fillId="20" borderId="44" xfId="0" applyFont="1" applyFill="1" applyBorder="1" applyAlignment="1">
      <alignment horizontal="center" vertical="center" wrapText="1"/>
    </xf>
    <xf numFmtId="0" fontId="20" fillId="20" borderId="35" xfId="0" applyFont="1" applyFill="1" applyBorder="1" applyAlignment="1">
      <alignment horizontal="center" vertical="center"/>
    </xf>
    <xf numFmtId="0" fontId="20" fillId="20" borderId="51" xfId="0" applyFont="1" applyFill="1" applyBorder="1" applyAlignment="1">
      <alignment horizontal="center" vertical="center"/>
    </xf>
    <xf numFmtId="0" fontId="23" fillId="13" borderId="28" xfId="0" applyFont="1" applyFill="1" applyBorder="1" applyAlignment="1">
      <alignment horizontal="center" vertical="center" wrapText="1"/>
    </xf>
    <xf numFmtId="0" fontId="23" fillId="13" borderId="29" xfId="0" applyFont="1" applyFill="1" applyBorder="1" applyAlignment="1">
      <alignment horizontal="center" vertical="center" wrapText="1"/>
    </xf>
    <xf numFmtId="0" fontId="20" fillId="13" borderId="33" xfId="0" applyFont="1" applyFill="1" applyBorder="1" applyAlignment="1">
      <alignment horizontal="center" vertical="center" wrapText="1"/>
    </xf>
    <xf numFmtId="0" fontId="20" fillId="13" borderId="31" xfId="0" applyFont="1" applyFill="1" applyBorder="1" applyAlignment="1">
      <alignment horizontal="center" vertical="center" wrapText="1"/>
    </xf>
    <xf numFmtId="0" fontId="20" fillId="13" borderId="27" xfId="0" applyFont="1" applyFill="1" applyBorder="1" applyAlignment="1">
      <alignment horizontal="center" vertical="center" wrapText="1"/>
    </xf>
    <xf numFmtId="0" fontId="20" fillId="13" borderId="48" xfId="0" applyFont="1" applyFill="1" applyBorder="1" applyAlignment="1">
      <alignment horizontal="center" vertical="center" wrapText="1"/>
    </xf>
    <xf numFmtId="0" fontId="20" fillId="12" borderId="28" xfId="0" applyFont="1" applyFill="1" applyBorder="1" applyAlignment="1">
      <alignment horizontal="center" vertical="center" wrapText="1"/>
    </xf>
    <xf numFmtId="0" fontId="20" fillId="12" borderId="29" xfId="0" applyFont="1" applyFill="1" applyBorder="1" applyAlignment="1">
      <alignment horizontal="center" vertical="center" wrapText="1"/>
    </xf>
    <xf numFmtId="0" fontId="20" fillId="12" borderId="27" xfId="0" applyFont="1" applyFill="1" applyBorder="1" applyAlignment="1">
      <alignment horizontal="center" vertical="center" wrapText="1"/>
    </xf>
    <xf numFmtId="0" fontId="20" fillId="12" borderId="48" xfId="0" applyFont="1" applyFill="1" applyBorder="1" applyAlignment="1">
      <alignment horizontal="center" vertical="center" wrapText="1"/>
    </xf>
    <xf numFmtId="0" fontId="20" fillId="27" borderId="2" xfId="0" applyFont="1" applyFill="1" applyBorder="1" applyAlignment="1">
      <alignment horizontal="center" vertical="center" wrapText="1"/>
    </xf>
    <xf numFmtId="0" fontId="20" fillId="27" borderId="3" xfId="0" applyFont="1" applyFill="1" applyBorder="1" applyAlignment="1">
      <alignment horizontal="center" vertical="center" wrapText="1"/>
    </xf>
    <xf numFmtId="0" fontId="20" fillId="27" borderId="4" xfId="0" applyFont="1" applyFill="1" applyBorder="1" applyAlignment="1">
      <alignment horizontal="center" vertical="center" wrapText="1"/>
    </xf>
    <xf numFmtId="0" fontId="20" fillId="27" borderId="7" xfId="0" applyFont="1" applyFill="1" applyBorder="1" applyAlignment="1">
      <alignment horizontal="center" vertical="center" wrapText="1"/>
    </xf>
    <xf numFmtId="0" fontId="20" fillId="27" borderId="8" xfId="0" applyFont="1" applyFill="1" applyBorder="1" applyAlignment="1">
      <alignment horizontal="center" vertical="center" wrapText="1"/>
    </xf>
    <xf numFmtId="0" fontId="20" fillId="27" borderId="9" xfId="0" applyFont="1" applyFill="1" applyBorder="1" applyAlignment="1">
      <alignment horizontal="center" vertical="center" wrapText="1"/>
    </xf>
    <xf numFmtId="0" fontId="23" fillId="25" borderId="34" xfId="0" applyFont="1" applyFill="1" applyBorder="1" applyAlignment="1">
      <alignment horizontal="center" vertical="center" wrapText="1"/>
    </xf>
    <xf numFmtId="0" fontId="23" fillId="25" borderId="4" xfId="0" applyFont="1" applyFill="1" applyBorder="1" applyAlignment="1">
      <alignment horizontal="center" vertical="center" wrapText="1"/>
    </xf>
    <xf numFmtId="0" fontId="20" fillId="14" borderId="2"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20" fillId="14" borderId="4" xfId="0" applyFont="1" applyFill="1" applyBorder="1" applyAlignment="1">
      <alignment horizontal="center" vertical="center" wrapText="1"/>
    </xf>
    <xf numFmtId="0" fontId="20" fillId="14" borderId="7" xfId="0" applyFont="1" applyFill="1" applyBorder="1" applyAlignment="1">
      <alignment horizontal="center" vertical="center" wrapText="1"/>
    </xf>
    <xf numFmtId="0" fontId="20" fillId="14" borderId="8"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19" fillId="7" borderId="2" xfId="0" applyFont="1" applyFill="1" applyBorder="1" applyAlignment="1">
      <alignment horizontal="center"/>
    </xf>
    <xf numFmtId="0" fontId="19" fillId="7" borderId="3" xfId="0" applyFont="1" applyFill="1" applyBorder="1" applyAlignment="1">
      <alignment horizontal="center"/>
    </xf>
    <xf numFmtId="0" fontId="19" fillId="7" borderId="4" xfId="0" applyFont="1" applyFill="1" applyBorder="1" applyAlignment="1">
      <alignment horizontal="center"/>
    </xf>
    <xf numFmtId="0" fontId="19" fillId="7" borderId="5" xfId="0" applyFont="1" applyFill="1" applyBorder="1" applyAlignment="1">
      <alignment horizontal="center"/>
    </xf>
    <xf numFmtId="0" fontId="19" fillId="7" borderId="0" xfId="0" applyFont="1" applyFill="1" applyAlignment="1">
      <alignment horizontal="center"/>
    </xf>
    <xf numFmtId="0" fontId="19" fillId="7" borderId="6" xfId="0" applyFont="1" applyFill="1" applyBorder="1" applyAlignment="1">
      <alignment horizontal="center"/>
    </xf>
    <xf numFmtId="0" fontId="19" fillId="7" borderId="7" xfId="0" applyFont="1" applyFill="1" applyBorder="1" applyAlignment="1">
      <alignment horizontal="center"/>
    </xf>
    <xf numFmtId="0" fontId="19" fillId="7" borderId="8" xfId="0" applyFont="1" applyFill="1" applyBorder="1" applyAlignment="1">
      <alignment horizontal="center"/>
    </xf>
    <xf numFmtId="0" fontId="19" fillId="7" borderId="9" xfId="0" applyFont="1" applyFill="1" applyBorder="1" applyAlignment="1">
      <alignment horizontal="center"/>
    </xf>
    <xf numFmtId="0" fontId="50" fillId="7" borderId="2" xfId="0" applyFont="1" applyFill="1" applyBorder="1" applyAlignment="1">
      <alignment horizontal="center" vertical="center" wrapText="1"/>
    </xf>
    <xf numFmtId="0" fontId="50" fillId="7" borderId="3" xfId="0" applyFont="1" applyFill="1" applyBorder="1" applyAlignment="1">
      <alignment horizontal="center" vertical="center"/>
    </xf>
    <xf numFmtId="0" fontId="50" fillId="7" borderId="5" xfId="0" applyFont="1" applyFill="1" applyBorder="1" applyAlignment="1">
      <alignment horizontal="center" vertical="center"/>
    </xf>
    <xf numFmtId="0" fontId="50" fillId="7" borderId="0" xfId="0" applyFont="1" applyFill="1" applyAlignment="1">
      <alignment horizontal="center" vertical="center"/>
    </xf>
    <xf numFmtId="0" fontId="50" fillId="7" borderId="7" xfId="0" applyFont="1" applyFill="1" applyBorder="1" applyAlignment="1">
      <alignment horizontal="center" vertical="center"/>
    </xf>
    <xf numFmtId="0" fontId="50" fillId="7" borderId="8" xfId="0" applyFont="1" applyFill="1" applyBorder="1" applyAlignment="1">
      <alignment horizontal="center" vertical="center"/>
    </xf>
    <xf numFmtId="0" fontId="20" fillId="26" borderId="45" xfId="0" applyFont="1" applyFill="1" applyBorder="1" applyAlignment="1">
      <alignment horizontal="center" vertical="center" wrapText="1"/>
    </xf>
    <xf numFmtId="0" fontId="20" fillId="26" borderId="15" xfId="0" applyFont="1" applyFill="1" applyBorder="1" applyAlignment="1">
      <alignment horizontal="center" vertical="center" wrapText="1"/>
    </xf>
    <xf numFmtId="9" fontId="19" fillId="0" borderId="61" xfId="0" applyNumberFormat="1" applyFont="1" applyBorder="1" applyAlignment="1">
      <alignment horizontal="justify" vertical="center" wrapText="1"/>
    </xf>
    <xf numFmtId="9" fontId="19" fillId="0" borderId="59" xfId="0" applyNumberFormat="1" applyFont="1" applyBorder="1" applyAlignment="1">
      <alignment horizontal="justify" vertical="center" wrapText="1"/>
    </xf>
    <xf numFmtId="9" fontId="19" fillId="0" borderId="61" xfId="0" applyNumberFormat="1" applyFont="1" applyFill="1" applyBorder="1" applyAlignment="1">
      <alignment horizontal="justify" vertical="center" wrapText="1"/>
    </xf>
    <xf numFmtId="9" fontId="19" fillId="0" borderId="59" xfId="0" applyNumberFormat="1" applyFont="1" applyFill="1" applyBorder="1" applyAlignment="1">
      <alignment horizontal="justify" vertical="center" wrapText="1"/>
    </xf>
    <xf numFmtId="0" fontId="19" fillId="0" borderId="61" xfId="1" applyNumberFormat="1" applyFont="1" applyBorder="1" applyAlignment="1">
      <alignment horizontal="justify" vertical="center" wrapText="1"/>
    </xf>
    <xf numFmtId="0" fontId="19" fillId="0" borderId="59" xfId="1" applyNumberFormat="1" applyFont="1" applyBorder="1" applyAlignment="1">
      <alignment horizontal="justify" vertical="center" wrapText="1"/>
    </xf>
    <xf numFmtId="9" fontId="19" fillId="3" borderId="61" xfId="0" applyNumberFormat="1" applyFont="1" applyFill="1" applyBorder="1" applyAlignment="1">
      <alignment horizontal="justify" vertical="center" wrapText="1"/>
    </xf>
    <xf numFmtId="9" fontId="19" fillId="3" borderId="59" xfId="0" applyNumberFormat="1" applyFont="1" applyFill="1" applyBorder="1" applyAlignment="1">
      <alignment horizontal="justify" vertical="center" wrapText="1"/>
    </xf>
    <xf numFmtId="0" fontId="29" fillId="7" borderId="2" xfId="0" applyFont="1" applyFill="1" applyBorder="1" applyAlignment="1">
      <alignment horizontal="center" vertical="center" wrapText="1"/>
    </xf>
    <xf numFmtId="0" fontId="29" fillId="7" borderId="3" xfId="0" applyFont="1" applyFill="1" applyBorder="1" applyAlignment="1">
      <alignment horizontal="center" vertical="center" wrapText="1"/>
    </xf>
    <xf numFmtId="0" fontId="29" fillId="7" borderId="4" xfId="0" applyFont="1" applyFill="1" applyBorder="1" applyAlignment="1">
      <alignment horizontal="center" vertical="center" wrapText="1"/>
    </xf>
    <xf numFmtId="0" fontId="29" fillId="7" borderId="5" xfId="0" applyFont="1" applyFill="1" applyBorder="1" applyAlignment="1">
      <alignment horizontal="center" vertical="center" wrapText="1"/>
    </xf>
    <xf numFmtId="0" fontId="29" fillId="7" borderId="0" xfId="0" applyFont="1" applyFill="1" applyAlignment="1">
      <alignment horizontal="center" vertical="center" wrapText="1"/>
    </xf>
    <xf numFmtId="0" fontId="29" fillId="7" borderId="6" xfId="0" applyFont="1" applyFill="1" applyBorder="1" applyAlignment="1">
      <alignment horizontal="center" vertical="center" wrapText="1"/>
    </xf>
    <xf numFmtId="0" fontId="29" fillId="7" borderId="7" xfId="0" applyFont="1" applyFill="1" applyBorder="1" applyAlignment="1">
      <alignment horizontal="center" vertical="center" wrapText="1"/>
    </xf>
    <xf numFmtId="0" fontId="29" fillId="7" borderId="8" xfId="0" applyFont="1" applyFill="1" applyBorder="1" applyAlignment="1">
      <alignment horizontal="center" vertical="center" wrapText="1"/>
    </xf>
    <xf numFmtId="0" fontId="29" fillId="7" borderId="9" xfId="0" applyFont="1" applyFill="1" applyBorder="1" applyAlignment="1">
      <alignment horizontal="center" vertical="center" wrapText="1"/>
    </xf>
    <xf numFmtId="0" fontId="19" fillId="7" borderId="35" xfId="0" applyFont="1" applyFill="1" applyBorder="1" applyAlignment="1">
      <alignment horizontal="center"/>
    </xf>
    <xf numFmtId="0" fontId="19" fillId="7" borderId="57" xfId="0" applyFont="1" applyFill="1" applyBorder="1" applyAlignment="1">
      <alignment horizontal="center"/>
    </xf>
    <xf numFmtId="0" fontId="19" fillId="7" borderId="51" xfId="0" applyFont="1" applyFill="1" applyBorder="1" applyAlignment="1">
      <alignment horizontal="center"/>
    </xf>
    <xf numFmtId="0" fontId="19" fillId="7" borderId="5" xfId="0" applyFont="1" applyFill="1" applyBorder="1" applyAlignment="1">
      <alignment horizontal="center" vertical="center" wrapText="1"/>
    </xf>
    <xf numFmtId="0" fontId="19" fillId="7" borderId="0" xfId="0" applyFont="1" applyFill="1" applyAlignment="1">
      <alignment horizontal="center" vertical="center" wrapText="1"/>
    </xf>
    <xf numFmtId="0" fontId="19" fillId="7" borderId="6" xfId="0" applyFont="1" applyFill="1" applyBorder="1" applyAlignment="1">
      <alignment horizontal="center" vertical="center" wrapText="1"/>
    </xf>
    <xf numFmtId="0" fontId="19" fillId="7" borderId="7" xfId="0" applyFont="1" applyFill="1" applyBorder="1" applyAlignment="1">
      <alignment horizontal="center" vertical="center" wrapText="1"/>
    </xf>
    <xf numFmtId="0" fontId="19" fillId="7" borderId="8"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23" fillId="7" borderId="14" xfId="0" applyFont="1" applyFill="1" applyBorder="1" applyAlignment="1">
      <alignment horizontal="center" vertical="center"/>
    </xf>
    <xf numFmtId="0" fontId="23" fillId="7" borderId="15" xfId="0" applyFont="1" applyFill="1" applyBorder="1" applyAlignment="1">
      <alignment horizontal="center" vertical="center"/>
    </xf>
    <xf numFmtId="0" fontId="23" fillId="7" borderId="16" xfId="0" applyFont="1" applyFill="1" applyBorder="1" applyAlignment="1">
      <alignment horizontal="center" vertical="center"/>
    </xf>
    <xf numFmtId="0" fontId="20" fillId="14" borderId="14" xfId="0" applyFont="1" applyFill="1" applyBorder="1" applyAlignment="1">
      <alignment horizontal="center" vertical="center"/>
    </xf>
    <xf numFmtId="0" fontId="20" fillId="14" borderId="15" xfId="0" applyFont="1" applyFill="1" applyBorder="1" applyAlignment="1">
      <alignment horizontal="center" vertical="center"/>
    </xf>
    <xf numFmtId="0" fontId="20" fillId="14" borderId="35" xfId="0" applyFont="1" applyFill="1" applyBorder="1" applyAlignment="1">
      <alignment horizontal="center" vertical="center"/>
    </xf>
    <xf numFmtId="0" fontId="20" fillId="14" borderId="51" xfId="0" applyFont="1" applyFill="1" applyBorder="1" applyAlignment="1">
      <alignment horizontal="center" vertical="center"/>
    </xf>
    <xf numFmtId="0" fontId="20" fillId="23" borderId="14" xfId="0" applyFont="1" applyFill="1" applyBorder="1" applyAlignment="1">
      <alignment horizontal="center" vertical="center"/>
    </xf>
    <xf numFmtId="0" fontId="20" fillId="23" borderId="15" xfId="0" applyFont="1" applyFill="1" applyBorder="1" applyAlignment="1">
      <alignment horizontal="center" vertical="center"/>
    </xf>
    <xf numFmtId="0" fontId="20" fillId="23" borderId="16" xfId="0" applyFont="1" applyFill="1" applyBorder="1" applyAlignment="1">
      <alignment horizontal="center" vertical="center"/>
    </xf>
    <xf numFmtId="0" fontId="19" fillId="7" borderId="2" xfId="0" applyFont="1" applyFill="1" applyBorder="1" applyAlignment="1">
      <alignment horizontal="center" vertical="center" wrapText="1"/>
    </xf>
    <xf numFmtId="0" fontId="19" fillId="7" borderId="3" xfId="0" applyFont="1" applyFill="1" applyBorder="1" applyAlignment="1">
      <alignment horizontal="center" vertical="center" wrapText="1"/>
    </xf>
    <xf numFmtId="0" fontId="19" fillId="7" borderId="4" xfId="0" applyFont="1" applyFill="1" applyBorder="1" applyAlignment="1">
      <alignment horizontal="center" vertical="center" wrapText="1"/>
    </xf>
    <xf numFmtId="0" fontId="19" fillId="7" borderId="5" xfId="0" applyFont="1" applyFill="1" applyBorder="1" applyAlignment="1">
      <alignment horizontal="center" vertical="center"/>
    </xf>
    <xf numFmtId="0" fontId="19" fillId="7" borderId="0" xfId="0" applyFont="1" applyFill="1" applyAlignment="1">
      <alignment horizontal="center" vertical="center"/>
    </xf>
    <xf numFmtId="0" fontId="19" fillId="7" borderId="6" xfId="0" applyFont="1" applyFill="1" applyBorder="1" applyAlignment="1">
      <alignment horizontal="center" vertical="center"/>
    </xf>
    <xf numFmtId="0" fontId="20" fillId="33" borderId="41" xfId="0" applyFont="1" applyFill="1" applyBorder="1" applyAlignment="1">
      <alignment horizontal="center" vertical="center"/>
    </xf>
    <xf numFmtId="0" fontId="20" fillId="33" borderId="63" xfId="0" applyFont="1" applyFill="1" applyBorder="1" applyAlignment="1">
      <alignment horizontal="center" vertical="center"/>
    </xf>
    <xf numFmtId="0" fontId="18" fillId="7" borderId="3" xfId="0" applyFont="1" applyFill="1" applyBorder="1" applyAlignment="1">
      <alignment horizontal="center" vertical="center"/>
    </xf>
    <xf numFmtId="0" fontId="18" fillId="7" borderId="0" xfId="0" applyFont="1" applyFill="1" applyAlignment="1">
      <alignment horizontal="center" vertical="center"/>
    </xf>
    <xf numFmtId="0" fontId="18" fillId="7" borderId="8" xfId="0" applyFont="1" applyFill="1" applyBorder="1" applyAlignment="1">
      <alignment horizontal="center" vertical="center"/>
    </xf>
    <xf numFmtId="0" fontId="20" fillId="7" borderId="2" xfId="0" applyFont="1" applyFill="1" applyBorder="1" applyAlignment="1">
      <alignment horizontal="center" vertical="center"/>
    </xf>
    <xf numFmtId="0" fontId="20" fillId="7" borderId="4" xfId="0" applyFont="1" applyFill="1" applyBorder="1" applyAlignment="1">
      <alignment horizontal="center" vertical="center"/>
    </xf>
    <xf numFmtId="0" fontId="20" fillId="7" borderId="5" xfId="0" applyFont="1" applyFill="1" applyBorder="1" applyAlignment="1">
      <alignment horizontal="center" vertical="center"/>
    </xf>
    <xf numFmtId="0" fontId="20" fillId="7" borderId="6" xfId="0" applyFont="1" applyFill="1" applyBorder="1" applyAlignment="1">
      <alignment horizontal="center" vertical="center"/>
    </xf>
    <xf numFmtId="0" fontId="20" fillId="7" borderId="7" xfId="0" applyFont="1" applyFill="1" applyBorder="1" applyAlignment="1">
      <alignment horizontal="center" vertical="center"/>
    </xf>
    <xf numFmtId="0" fontId="20" fillId="7" borderId="9"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4" xfId="0" applyFont="1" applyFill="1" applyBorder="1" applyAlignment="1">
      <alignment horizontal="center" vertical="center"/>
    </xf>
    <xf numFmtId="0" fontId="18" fillId="7" borderId="5" xfId="0" applyFont="1" applyFill="1" applyBorder="1" applyAlignment="1">
      <alignment horizontal="center" vertical="center"/>
    </xf>
    <xf numFmtId="0" fontId="18" fillId="7" borderId="6" xfId="0" applyFont="1" applyFill="1" applyBorder="1" applyAlignment="1">
      <alignment horizontal="center" vertical="center"/>
    </xf>
    <xf numFmtId="0" fontId="18" fillId="7" borderId="7" xfId="0" applyFont="1" applyFill="1" applyBorder="1" applyAlignment="1">
      <alignment horizontal="center" vertical="center"/>
    </xf>
    <xf numFmtId="0" fontId="18" fillId="7" borderId="9" xfId="0" applyFont="1" applyFill="1" applyBorder="1" applyAlignment="1">
      <alignment horizontal="center" vertical="center"/>
    </xf>
    <xf numFmtId="0" fontId="2" fillId="12" borderId="14" xfId="0" applyFont="1" applyFill="1" applyBorder="1" applyAlignment="1">
      <alignment horizontal="center" vertical="center" wrapText="1"/>
    </xf>
    <xf numFmtId="0" fontId="2" fillId="12" borderId="16" xfId="0" applyFont="1" applyFill="1" applyBorder="1" applyAlignment="1">
      <alignment horizontal="center" vertical="center" wrapText="1"/>
    </xf>
    <xf numFmtId="0" fontId="2" fillId="12" borderId="15" xfId="0" applyFont="1" applyFill="1" applyBorder="1" applyAlignment="1">
      <alignment horizontal="center" vertical="center" wrapText="1"/>
    </xf>
    <xf numFmtId="0" fontId="10" fillId="15" borderId="14" xfId="3" applyFont="1" applyFill="1" applyBorder="1" applyAlignment="1">
      <alignment horizontal="center" vertical="center"/>
    </xf>
    <xf numFmtId="0" fontId="10" fillId="15" borderId="15" xfId="3" applyFont="1" applyFill="1" applyBorder="1" applyAlignment="1">
      <alignment horizontal="center" vertical="center"/>
    </xf>
    <xf numFmtId="0" fontId="10" fillId="15" borderId="16" xfId="3" applyFont="1" applyFill="1" applyBorder="1" applyAlignment="1">
      <alignment horizontal="center" vertical="center"/>
    </xf>
    <xf numFmtId="0" fontId="10" fillId="0" borderId="14"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16" xfId="3" applyFont="1" applyBorder="1" applyAlignment="1">
      <alignment horizontal="center" vertical="center" wrapText="1"/>
    </xf>
    <xf numFmtId="0" fontId="10" fillId="0" borderId="35" xfId="3" applyFont="1" applyBorder="1" applyAlignment="1">
      <alignment horizontal="center" vertical="center" textRotation="90" wrapText="1"/>
    </xf>
    <xf numFmtId="0" fontId="10" fillId="0" borderId="57" xfId="3" applyFont="1" applyBorder="1" applyAlignment="1">
      <alignment horizontal="center" vertical="center" textRotation="90" wrapText="1"/>
    </xf>
    <xf numFmtId="0" fontId="10" fillId="0" borderId="51" xfId="3" applyFont="1" applyBorder="1" applyAlignment="1">
      <alignment horizontal="center" vertical="center" textRotation="90" wrapText="1"/>
    </xf>
    <xf numFmtId="0" fontId="2" fillId="7" borderId="8" xfId="0" applyFont="1" applyFill="1" applyBorder="1" applyAlignment="1">
      <alignment horizontal="center" vertical="center"/>
    </xf>
    <xf numFmtId="0" fontId="11" fillId="7" borderId="2" xfId="3" applyFont="1" applyFill="1" applyBorder="1" applyAlignment="1">
      <alignment horizontal="center" vertical="center" wrapText="1"/>
    </xf>
    <xf numFmtId="0" fontId="11" fillId="7" borderId="4" xfId="3" applyFont="1" applyFill="1" applyBorder="1" applyAlignment="1">
      <alignment horizontal="center" vertical="center" wrapText="1"/>
    </xf>
    <xf numFmtId="0" fontId="11" fillId="7" borderId="7" xfId="3" applyFont="1" applyFill="1" applyBorder="1" applyAlignment="1">
      <alignment horizontal="center" vertical="center" wrapText="1"/>
    </xf>
    <xf numFmtId="0" fontId="11" fillId="7" borderId="9" xfId="3" applyFont="1" applyFill="1" applyBorder="1" applyAlignment="1">
      <alignment horizontal="center" vertical="center" wrapText="1"/>
    </xf>
    <xf numFmtId="0" fontId="14" fillId="18" borderId="0" xfId="0" applyFont="1" applyFill="1" applyAlignment="1">
      <alignment horizontal="center" vertical="center" wrapText="1"/>
    </xf>
    <xf numFmtId="0" fontId="17" fillId="7" borderId="0" xfId="0" applyFont="1" applyFill="1" applyAlignment="1">
      <alignment horizontal="center"/>
    </xf>
    <xf numFmtId="0" fontId="14" fillId="7" borderId="2" xfId="0" applyFont="1" applyFill="1" applyBorder="1" applyAlignment="1">
      <alignment horizontal="center" vertical="center"/>
    </xf>
    <xf numFmtId="0" fontId="14" fillId="7" borderId="3" xfId="0" applyFont="1" applyFill="1" applyBorder="1" applyAlignment="1">
      <alignment horizontal="center" vertical="center"/>
    </xf>
    <xf numFmtId="0" fontId="14" fillId="7" borderId="4" xfId="0" applyFont="1" applyFill="1" applyBorder="1" applyAlignment="1">
      <alignment horizontal="center" vertical="center"/>
    </xf>
    <xf numFmtId="0" fontId="14" fillId="7" borderId="7" xfId="0" applyFont="1" applyFill="1" applyBorder="1" applyAlignment="1">
      <alignment horizontal="center" vertical="center"/>
    </xf>
    <xf numFmtId="0" fontId="14" fillId="7" borderId="8" xfId="0" applyFont="1" applyFill="1" applyBorder="1" applyAlignment="1">
      <alignment horizontal="center" vertical="center"/>
    </xf>
    <xf numFmtId="0" fontId="14" fillId="7" borderId="9" xfId="0" applyFont="1" applyFill="1" applyBorder="1" applyAlignment="1">
      <alignment horizontal="center" vertical="center"/>
    </xf>
    <xf numFmtId="0" fontId="14" fillId="14" borderId="0" xfId="0" applyFont="1" applyFill="1" applyAlignment="1">
      <alignment horizontal="center" vertical="center" wrapText="1"/>
    </xf>
    <xf numFmtId="0" fontId="14" fillId="28" borderId="0" xfId="0" applyFont="1" applyFill="1" applyAlignment="1">
      <alignment horizontal="center" vertical="center"/>
    </xf>
    <xf numFmtId="0" fontId="22" fillId="7" borderId="0" xfId="0" applyFont="1" applyFill="1" applyAlignment="1">
      <alignment horizontal="center" vertical="center"/>
    </xf>
    <xf numFmtId="0" fontId="19" fillId="7" borderId="1" xfId="0" applyFont="1" applyFill="1" applyBorder="1" applyAlignment="1">
      <alignment horizontal="center" vertical="center" wrapText="1"/>
    </xf>
    <xf numFmtId="0" fontId="23" fillId="3" borderId="1" xfId="0" applyFont="1" applyFill="1" applyBorder="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cellXfs>
  <cellStyles count="5">
    <cellStyle name="Hipervínculo" xfId="4" builtinId="8"/>
    <cellStyle name="Millares" xfId="2" builtinId="3"/>
    <cellStyle name="Normal" xfId="0" builtinId="0"/>
    <cellStyle name="Normal 2" xfId="3"/>
    <cellStyle name="Porcentaje" xfId="1" builtinId="5"/>
  </cellStyles>
  <dxfs count="63">
    <dxf>
      <fill>
        <gradientFill degree="45">
          <stop position="0">
            <color rgb="FFFF0000"/>
          </stop>
          <stop position="1">
            <color rgb="FFC00000"/>
          </stop>
        </gradientFill>
      </fill>
    </dxf>
    <dxf>
      <fill>
        <gradientFill degree="45">
          <stop position="0">
            <color rgb="FFF9ED07"/>
          </stop>
          <stop position="1">
            <color rgb="FFFFFF00"/>
          </stop>
        </gradientFill>
      </fill>
    </dxf>
    <dxf>
      <fill>
        <gradientFill degree="45">
          <stop position="0">
            <color rgb="FFFFC000"/>
          </stop>
          <stop position="1">
            <color rgb="FFFF9933"/>
          </stop>
        </gradientFill>
      </fill>
    </dxf>
    <dxf>
      <fill>
        <gradientFill degree="45">
          <stop position="0">
            <color rgb="FFFF0000"/>
          </stop>
          <stop position="1">
            <color rgb="FFC00000"/>
          </stop>
        </gradientFill>
      </fill>
    </dxf>
    <dxf>
      <fill>
        <gradientFill degree="45">
          <stop position="0">
            <color rgb="FFF9ED07"/>
          </stop>
          <stop position="1">
            <color rgb="FFFFFF00"/>
          </stop>
        </gradientFill>
      </fill>
    </dxf>
    <dxf>
      <fill>
        <gradientFill degree="45">
          <stop position="0">
            <color rgb="FFFFC000"/>
          </stop>
          <stop position="1">
            <color rgb="FFFF9933"/>
          </stop>
        </gradientFill>
      </fill>
    </dxf>
    <dxf>
      <fill>
        <gradientFill degree="45">
          <stop position="0">
            <color rgb="FFFF0000"/>
          </stop>
          <stop position="1">
            <color rgb="FFD60000"/>
          </stop>
        </gradientFill>
      </fill>
    </dxf>
    <dxf>
      <fill>
        <gradientFill degree="90">
          <stop position="0">
            <color rgb="FFF9ED07"/>
          </stop>
          <stop position="1">
            <color rgb="FFFFC000"/>
          </stop>
        </gradientFill>
      </fill>
    </dxf>
    <dxf>
      <fill>
        <gradientFill degree="90">
          <stop position="0">
            <color rgb="FF6DBA34"/>
          </stop>
          <stop position="1">
            <color rgb="FF00B050"/>
          </stop>
        </gradientFill>
      </fill>
    </dxf>
    <dxf>
      <fill>
        <gradientFill degree="45">
          <stop position="0">
            <color rgb="FFFF0000"/>
          </stop>
          <stop position="1">
            <color rgb="FFD60000"/>
          </stop>
        </gradientFill>
      </fill>
    </dxf>
    <dxf>
      <fill>
        <gradientFill degree="90">
          <stop position="0">
            <color rgb="FFF9ED07"/>
          </stop>
          <stop position="1">
            <color rgb="FFFFC000"/>
          </stop>
        </gradientFill>
      </fill>
    </dxf>
    <dxf>
      <fill>
        <gradientFill degree="90">
          <stop position="0">
            <color rgb="FF6DBA34"/>
          </stop>
          <stop position="1">
            <color rgb="FF00B050"/>
          </stop>
        </gradientFill>
      </fill>
    </dxf>
    <dxf>
      <fill>
        <gradientFill degree="45">
          <stop position="0">
            <color rgb="FFFF0000"/>
          </stop>
          <stop position="1">
            <color rgb="FFC00000"/>
          </stop>
        </gradientFill>
      </fill>
    </dxf>
    <dxf>
      <fill>
        <gradientFill degree="45">
          <stop position="0">
            <color rgb="FFF9ED07"/>
          </stop>
          <stop position="1">
            <color rgb="FFFFFF00"/>
          </stop>
        </gradientFill>
      </fill>
    </dxf>
    <dxf>
      <fill>
        <gradientFill degree="45">
          <stop position="0">
            <color rgb="FFFFC000"/>
          </stop>
          <stop position="1">
            <color rgb="FFFF9933"/>
          </stop>
        </gradientFill>
      </fill>
    </dxf>
    <dxf>
      <fill>
        <gradientFill degree="45">
          <stop position="0">
            <color rgb="FFFF0000"/>
          </stop>
          <stop position="1">
            <color rgb="FFC00000"/>
          </stop>
        </gradientFill>
      </fill>
    </dxf>
    <dxf>
      <fill>
        <gradientFill degree="45">
          <stop position="0">
            <color rgb="FFF9ED07"/>
          </stop>
          <stop position="1">
            <color rgb="FFFFFF00"/>
          </stop>
        </gradientFill>
      </fill>
    </dxf>
    <dxf>
      <fill>
        <gradientFill degree="45">
          <stop position="0">
            <color rgb="FFFFC000"/>
          </stop>
          <stop position="1">
            <color rgb="FFFF9933"/>
          </stop>
        </gradientFill>
      </fill>
    </dxf>
    <dxf>
      <fill>
        <gradientFill degree="45">
          <stop position="0">
            <color rgb="FFFFFF00"/>
          </stop>
          <stop position="1">
            <color rgb="FFFFC000"/>
          </stop>
        </gradientFill>
      </fill>
    </dxf>
    <dxf>
      <fill>
        <gradientFill degree="45">
          <stop position="0">
            <color rgb="FF6DBA34"/>
          </stop>
          <stop position="1">
            <color rgb="FF00B050"/>
          </stop>
        </gradientFill>
      </fill>
    </dxf>
    <dxf>
      <fill>
        <gradientFill degree="45">
          <stop position="0">
            <color rgb="FFFFC000"/>
          </stop>
          <stop position="1">
            <color rgb="FFFF9933"/>
          </stop>
        </gradientFill>
      </fill>
    </dxf>
    <dxf>
      <fill>
        <gradientFill degree="45">
          <stop position="0">
            <color rgb="FFC00000"/>
          </stop>
          <stop position="1">
            <color rgb="FFFF0000"/>
          </stop>
        </gradientFill>
      </fill>
    </dxf>
    <dxf>
      <fill>
        <gradientFill degree="225">
          <stop position="0">
            <color rgb="FF92D050"/>
          </stop>
          <stop position="1">
            <color rgb="FFCCFF33"/>
          </stop>
        </gradientFill>
      </fill>
    </dxf>
    <dxf>
      <fill>
        <gradientFill type="path" left="0.5" right="0.5" top="0.5" bottom="0.5">
          <stop position="0">
            <color rgb="FFFF9999"/>
          </stop>
          <stop position="1">
            <color rgb="FFFF0000"/>
          </stop>
        </gradientFill>
      </fill>
    </dxf>
    <dxf>
      <fill>
        <gradientFill type="path" left="0.5" right="0.5" top="0.5" bottom="0.5">
          <stop position="0">
            <color theme="7" tint="0.59999389629810485"/>
          </stop>
          <stop position="1">
            <color rgb="FFFF9933"/>
          </stop>
        </gradientFill>
      </fill>
    </dxf>
    <dxf>
      <fill>
        <gradientFill type="path" left="0.5" right="0.5" top="0.5" bottom="0.5">
          <stop position="0">
            <color theme="7" tint="0.80001220740379042"/>
          </stop>
          <stop position="1">
            <color rgb="FFFFFF00"/>
          </stop>
        </gradientFill>
      </fill>
    </dxf>
    <dxf>
      <fill>
        <gradientFill type="path" left="0.5" right="0.5" top="0.5" bottom="0.5">
          <stop position="0">
            <color theme="9" tint="0.40000610370189521"/>
          </stop>
          <stop position="1">
            <color rgb="FF00B050"/>
          </stop>
        </gradientFill>
      </fill>
    </dxf>
    <dxf>
      <fill>
        <gradientFill type="path" left="0.5" right="0.5" top="0.5" bottom="0.5">
          <stop position="0">
            <color rgb="FFFF9999"/>
          </stop>
          <stop position="1">
            <color rgb="FFFF0000"/>
          </stop>
        </gradientFill>
      </fill>
    </dxf>
    <dxf>
      <fill>
        <gradientFill type="path" left="0.5" right="0.5" top="0.5" bottom="0.5">
          <stop position="0">
            <color theme="7" tint="0.59999389629810485"/>
          </stop>
          <stop position="1">
            <color rgb="FFFF9933"/>
          </stop>
        </gradientFill>
      </fill>
    </dxf>
    <dxf>
      <fill>
        <gradientFill type="path" left="0.5" right="0.5" top="0.5" bottom="0.5">
          <stop position="0">
            <color theme="7" tint="0.80001220740379042"/>
          </stop>
          <stop position="1">
            <color rgb="FFFFFF00"/>
          </stop>
        </gradientFill>
      </fill>
    </dxf>
    <dxf>
      <fill>
        <gradientFill type="path" left="0.5" right="0.5" top="0.5" bottom="0.5">
          <stop position="0">
            <color theme="9" tint="0.40000610370189521"/>
          </stop>
          <stop position="1">
            <color rgb="FF00B050"/>
          </stop>
        </gradientFill>
      </fill>
    </dxf>
    <dxf>
      <fill>
        <gradientFill degree="270">
          <stop position="0">
            <color rgb="FFCCFF33"/>
          </stop>
          <stop position="1">
            <color rgb="FF92D050"/>
          </stop>
        </gradientFill>
      </fill>
    </dxf>
    <dxf>
      <fill>
        <gradientFill degree="270">
          <stop position="0">
            <color rgb="FFFFFF99"/>
          </stop>
          <stop position="1">
            <color rgb="FFF9ED07"/>
          </stop>
        </gradientFill>
      </fill>
    </dxf>
    <dxf>
      <fill>
        <gradientFill degree="270">
          <stop position="0">
            <color rgb="FFFFC000"/>
          </stop>
          <stop position="1">
            <color rgb="FFFF9933"/>
          </stop>
        </gradientFill>
      </fill>
    </dxf>
    <dxf>
      <fill>
        <gradientFill degree="270">
          <stop position="0">
            <color rgb="FFFF5050"/>
          </stop>
          <stop position="1">
            <color rgb="FFFF0000"/>
          </stop>
        </gradientFill>
      </fill>
    </dxf>
    <dxf>
      <fill>
        <patternFill>
          <bgColor rgb="FF92D050"/>
        </patternFill>
      </fill>
    </dxf>
    <dxf>
      <fill>
        <patternFill>
          <bgColor rgb="FF00B050"/>
        </patternFill>
      </fill>
    </dxf>
    <dxf>
      <fill>
        <patternFill>
          <bgColor rgb="FFFFFF00"/>
        </patternFill>
      </fill>
    </dxf>
    <dxf>
      <fill>
        <patternFill>
          <bgColor rgb="FFFBA905"/>
        </patternFill>
      </fill>
    </dxf>
    <dxf>
      <fill>
        <patternFill>
          <bgColor rgb="FFFF0000"/>
        </patternFill>
      </fill>
    </dxf>
    <dxf>
      <fill>
        <patternFill>
          <bgColor rgb="FF92D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gradientFill degree="270">
          <stop position="0">
            <color rgb="FFCCFF33"/>
          </stop>
          <stop position="1">
            <color rgb="FF92D050"/>
          </stop>
        </gradientFill>
      </fill>
    </dxf>
    <dxf>
      <fill>
        <gradientFill degree="270">
          <stop position="0">
            <color rgb="FFFFFF99"/>
          </stop>
          <stop position="1">
            <color rgb="FFF9ED07"/>
          </stop>
        </gradientFill>
      </fill>
    </dxf>
    <dxf>
      <fill>
        <gradientFill degree="270">
          <stop position="0">
            <color rgb="FFFFC000"/>
          </stop>
          <stop position="1">
            <color rgb="FFFF9933"/>
          </stop>
        </gradientFill>
      </fill>
    </dxf>
    <dxf>
      <fill>
        <gradientFill degree="270">
          <stop position="0">
            <color rgb="FFFF5050"/>
          </stop>
          <stop position="1">
            <color rgb="FFFF0000"/>
          </stop>
        </gradientFill>
      </fill>
    </dxf>
    <dxf>
      <fill>
        <gradientFill degree="270">
          <stop position="0">
            <color rgb="FFCCFF33"/>
          </stop>
          <stop position="1">
            <color rgb="FF92D050"/>
          </stop>
        </gradientFill>
      </fill>
    </dxf>
    <dxf>
      <fill>
        <gradientFill degree="270">
          <stop position="0">
            <color rgb="FFFFFF99"/>
          </stop>
          <stop position="1">
            <color rgb="FFF9ED07"/>
          </stop>
        </gradientFill>
      </fill>
    </dxf>
    <dxf>
      <fill>
        <gradientFill degree="270">
          <stop position="0">
            <color rgb="FFFFC000"/>
          </stop>
          <stop position="1">
            <color rgb="FFFF9933"/>
          </stop>
        </gradientFill>
      </fill>
    </dxf>
    <dxf>
      <fill>
        <gradientFill degree="270">
          <stop position="0">
            <color rgb="FFFF5050"/>
          </stop>
          <stop position="1">
            <color rgb="FFFF0000"/>
          </stop>
        </gradientFill>
      </fill>
    </dxf>
    <dxf>
      <fill>
        <patternFill>
          <bgColor rgb="FF92D050"/>
        </patternFill>
      </fill>
    </dxf>
    <dxf>
      <fill>
        <patternFill>
          <bgColor rgb="FF00B050"/>
        </patternFill>
      </fill>
    </dxf>
    <dxf>
      <fill>
        <patternFill>
          <bgColor rgb="FFFFFF00"/>
        </patternFill>
      </fill>
    </dxf>
    <dxf>
      <fill>
        <patternFill>
          <bgColor rgb="FFFF9900"/>
        </patternFill>
      </fill>
    </dxf>
    <dxf>
      <fill>
        <patternFill>
          <bgColor rgb="FFFF0000"/>
        </patternFill>
      </fill>
    </dxf>
    <dxf>
      <fill>
        <patternFill>
          <bgColor rgb="FFFFFF00"/>
        </patternFill>
      </fill>
    </dxf>
    <dxf>
      <fill>
        <patternFill>
          <bgColor rgb="FF92D050"/>
        </patternFill>
      </fill>
    </dxf>
    <dxf>
      <fill>
        <patternFill>
          <bgColor rgb="FF00B050"/>
        </patternFill>
      </fill>
    </dxf>
    <dxf>
      <fill>
        <patternFill>
          <bgColor rgb="FFFF9933"/>
        </patternFill>
      </fill>
    </dxf>
    <dxf>
      <fill>
        <patternFill>
          <bgColor rgb="FFFF0000"/>
        </patternFill>
      </fill>
    </dxf>
  </dxfs>
  <tableStyles count="0" defaultTableStyle="TableStyleMedium2" defaultPivotStyle="PivotStyleLight16"/>
  <colors>
    <mruColors>
      <color rgb="FFFFFF66"/>
      <color rgb="FFFF9933"/>
      <color rgb="FFCCFF66"/>
      <color rgb="FFFF2D2D"/>
      <color rgb="FFF9ED07"/>
      <color rgb="FFD60000"/>
      <color rgb="FF6DBA34"/>
      <color rgb="FFFF9999"/>
      <color rgb="FFCCFF33"/>
      <color rgb="FFFBA9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2.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image" Target="../media/image12.png"/><Relationship Id="rId1" Type="http://schemas.openxmlformats.org/officeDocument/2006/relationships/image" Target="../media/image11.png"/><Relationship Id="rId5" Type="http://schemas.openxmlformats.org/officeDocument/2006/relationships/image" Target="../media/image15.png"/><Relationship Id="rId4" Type="http://schemas.openxmlformats.org/officeDocument/2006/relationships/image" Target="../media/image14.png"/></Relationships>
</file>

<file path=xl/drawings/_rels/drawing13.xml.rels><?xml version="1.0" encoding="UTF-8" standalone="yes"?>
<Relationships xmlns="http://schemas.openxmlformats.org/package/2006/relationships"><Relationship Id="rId3" Type="http://schemas.openxmlformats.org/officeDocument/2006/relationships/image" Target="../media/image18.png"/><Relationship Id="rId2" Type="http://schemas.openxmlformats.org/officeDocument/2006/relationships/image" Target="../media/image17.png"/><Relationship Id="rId1" Type="http://schemas.openxmlformats.org/officeDocument/2006/relationships/image" Target="../media/image16.png"/><Relationship Id="rId4" Type="http://schemas.openxmlformats.org/officeDocument/2006/relationships/image" Target="../media/image19.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476250</xdr:colOff>
      <xdr:row>1</xdr:row>
      <xdr:rowOff>63500</xdr:rowOff>
    </xdr:from>
    <xdr:to>
      <xdr:col>3</xdr:col>
      <xdr:colOff>650875</xdr:colOff>
      <xdr:row>3</xdr:row>
      <xdr:rowOff>158750</xdr:rowOff>
    </xdr:to>
    <xdr:pic>
      <xdr:nvPicPr>
        <xdr:cNvPr id="4" name="Imagen 3">
          <a:extLst>
            <a:ext uri="{FF2B5EF4-FFF2-40B4-BE49-F238E27FC236}">
              <a16:creationId xmlns:a16="http://schemas.microsoft.com/office/drawing/2014/main" id="{2D1E786E-F0E7-46D7-86F8-D4A9B89A5C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7875" y="269875"/>
          <a:ext cx="2413000" cy="698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476253</xdr:colOff>
      <xdr:row>1</xdr:row>
      <xdr:rowOff>54429</xdr:rowOff>
    </xdr:from>
    <xdr:to>
      <xdr:col>2</xdr:col>
      <xdr:colOff>2422074</xdr:colOff>
      <xdr:row>3</xdr:row>
      <xdr:rowOff>173083</xdr:rowOff>
    </xdr:to>
    <xdr:pic>
      <xdr:nvPicPr>
        <xdr:cNvPr id="3" name="Imagen 2">
          <a:extLst>
            <a:ext uri="{FF2B5EF4-FFF2-40B4-BE49-F238E27FC236}">
              <a16:creationId xmlns:a16="http://schemas.microsoft.com/office/drawing/2014/main" id="{F5D790E4-F4CD-4C3D-9A46-E9B249C8DF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3" y="258536"/>
          <a:ext cx="2707821" cy="7173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xdr:colOff>
      <xdr:row>8</xdr:row>
      <xdr:rowOff>123825</xdr:rowOff>
    </xdr:from>
    <xdr:to>
      <xdr:col>2</xdr:col>
      <xdr:colOff>723901</xdr:colOff>
      <xdr:row>9</xdr:row>
      <xdr:rowOff>247650</xdr:rowOff>
    </xdr:to>
    <xdr:pic>
      <xdr:nvPicPr>
        <xdr:cNvPr id="4" name="Imagen 3">
          <a:extLst>
            <a:ext uri="{FF2B5EF4-FFF2-40B4-BE49-F238E27FC236}">
              <a16:creationId xmlns:a16="http://schemas.microsoft.com/office/drawing/2014/main" id="{95908A0F-9157-48FD-B1AD-B749D1FA6E4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2051" y="1924050"/>
          <a:ext cx="1123950"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1825441</xdr:colOff>
      <xdr:row>41</xdr:row>
      <xdr:rowOff>121863</xdr:rowOff>
    </xdr:from>
    <xdr:to>
      <xdr:col>8</xdr:col>
      <xdr:colOff>2370040</xdr:colOff>
      <xdr:row>59</xdr:row>
      <xdr:rowOff>123263</xdr:rowOff>
    </xdr:to>
    <xdr:pic>
      <xdr:nvPicPr>
        <xdr:cNvPr id="2" name="Imagen 1">
          <a:extLst>
            <a:ext uri="{FF2B5EF4-FFF2-40B4-BE49-F238E27FC236}">
              <a16:creationId xmlns:a16="http://schemas.microsoft.com/office/drawing/2014/main" id="{76328B0D-9327-44D4-B3DB-83A1E5201EA7}"/>
            </a:ext>
          </a:extLst>
        </xdr:cNvPr>
        <xdr:cNvPicPr>
          <a:picLocks noChangeAspect="1"/>
        </xdr:cNvPicPr>
      </xdr:nvPicPr>
      <xdr:blipFill>
        <a:blip xmlns:r="http://schemas.openxmlformats.org/officeDocument/2006/relationships" r:embed="rId1" cstate="print"/>
        <a:stretch>
          <a:fillRect/>
        </a:stretch>
      </xdr:blipFill>
      <xdr:spPr>
        <a:xfrm>
          <a:off x="6150912" y="17759922"/>
          <a:ext cx="6903937" cy="3833814"/>
        </a:xfrm>
        <a:prstGeom prst="rect">
          <a:avLst/>
        </a:prstGeom>
      </xdr:spPr>
    </xdr:pic>
    <xdr:clientData/>
  </xdr:twoCellAnchor>
  <xdr:twoCellAnchor editAs="oneCell">
    <xdr:from>
      <xdr:col>1</xdr:col>
      <xdr:colOff>581305</xdr:colOff>
      <xdr:row>49</xdr:row>
      <xdr:rowOff>100853</xdr:rowOff>
    </xdr:from>
    <xdr:to>
      <xdr:col>4</xdr:col>
      <xdr:colOff>1776012</xdr:colOff>
      <xdr:row>59</xdr:row>
      <xdr:rowOff>178172</xdr:rowOff>
    </xdr:to>
    <xdr:pic>
      <xdr:nvPicPr>
        <xdr:cNvPr id="3" name="Imagen 2">
          <a:extLst>
            <a:ext uri="{FF2B5EF4-FFF2-40B4-BE49-F238E27FC236}">
              <a16:creationId xmlns:a16="http://schemas.microsoft.com/office/drawing/2014/main" id="{3D4BAF5E-CA11-4287-8998-13C02B662D22}"/>
            </a:ext>
          </a:extLst>
        </xdr:cNvPr>
        <xdr:cNvPicPr>
          <a:picLocks noChangeAspect="1"/>
        </xdr:cNvPicPr>
      </xdr:nvPicPr>
      <xdr:blipFill>
        <a:blip xmlns:r="http://schemas.openxmlformats.org/officeDocument/2006/relationships" r:embed="rId2" cstate="print"/>
        <a:stretch>
          <a:fillRect/>
        </a:stretch>
      </xdr:blipFill>
      <xdr:spPr>
        <a:xfrm>
          <a:off x="1343305" y="19442206"/>
          <a:ext cx="4426164" cy="2206438"/>
        </a:xfrm>
        <a:prstGeom prst="rect">
          <a:avLst/>
        </a:prstGeom>
      </xdr:spPr>
    </xdr:pic>
    <xdr:clientData/>
  </xdr:twoCellAnchor>
  <xdr:twoCellAnchor editAs="oneCell">
    <xdr:from>
      <xdr:col>1</xdr:col>
      <xdr:colOff>596526</xdr:colOff>
      <xdr:row>60</xdr:row>
      <xdr:rowOff>137875</xdr:rowOff>
    </xdr:from>
    <xdr:to>
      <xdr:col>7</xdr:col>
      <xdr:colOff>919482</xdr:colOff>
      <xdr:row>75</xdr:row>
      <xdr:rowOff>94451</xdr:rowOff>
    </xdr:to>
    <xdr:pic>
      <xdr:nvPicPr>
        <xdr:cNvPr id="4" name="Imagen 3">
          <a:extLst>
            <a:ext uri="{FF2B5EF4-FFF2-40B4-BE49-F238E27FC236}">
              <a16:creationId xmlns:a16="http://schemas.microsoft.com/office/drawing/2014/main" id="{C833053E-2F47-4B6D-BD94-C5DD4AC614E0}"/>
            </a:ext>
          </a:extLst>
        </xdr:cNvPr>
        <xdr:cNvPicPr>
          <a:picLocks noChangeAspect="1"/>
        </xdr:cNvPicPr>
      </xdr:nvPicPr>
      <xdr:blipFill>
        <a:blip xmlns:r="http://schemas.openxmlformats.org/officeDocument/2006/relationships" r:embed="rId3" cstate="print"/>
        <a:stretch>
          <a:fillRect/>
        </a:stretch>
      </xdr:blipFill>
      <xdr:spPr>
        <a:xfrm>
          <a:off x="1358526" y="21501089"/>
          <a:ext cx="8650527" cy="3018183"/>
        </a:xfrm>
        <a:prstGeom prst="rect">
          <a:avLst/>
        </a:prstGeom>
      </xdr:spPr>
    </xdr:pic>
    <xdr:clientData/>
  </xdr:twoCellAnchor>
  <xdr:twoCellAnchor editAs="oneCell">
    <xdr:from>
      <xdr:col>9</xdr:col>
      <xdr:colOff>1156607</xdr:colOff>
      <xdr:row>41</xdr:row>
      <xdr:rowOff>163286</xdr:rowOff>
    </xdr:from>
    <xdr:to>
      <xdr:col>13</xdr:col>
      <xdr:colOff>1450506</xdr:colOff>
      <xdr:row>70</xdr:row>
      <xdr:rowOff>172403</xdr:rowOff>
    </xdr:to>
    <xdr:pic>
      <xdr:nvPicPr>
        <xdr:cNvPr id="5" name="Imagen 4">
          <a:extLst>
            <a:ext uri="{FF2B5EF4-FFF2-40B4-BE49-F238E27FC236}">
              <a16:creationId xmlns:a16="http://schemas.microsoft.com/office/drawing/2014/main" id="{D12E5896-5665-4487-9FD8-883A25140557}"/>
            </a:ext>
          </a:extLst>
        </xdr:cNvPr>
        <xdr:cNvPicPr>
          <a:picLocks noChangeAspect="1"/>
        </xdr:cNvPicPr>
      </xdr:nvPicPr>
      <xdr:blipFill>
        <a:blip xmlns:r="http://schemas.openxmlformats.org/officeDocument/2006/relationships" r:embed="rId4" cstate="print"/>
        <a:stretch>
          <a:fillRect/>
        </a:stretch>
      </xdr:blipFill>
      <xdr:spPr>
        <a:xfrm>
          <a:off x="11879036" y="12096750"/>
          <a:ext cx="8403756" cy="5928225"/>
        </a:xfrm>
        <a:prstGeom prst="rect">
          <a:avLst/>
        </a:prstGeom>
      </xdr:spPr>
    </xdr:pic>
    <xdr:clientData/>
  </xdr:twoCellAnchor>
  <xdr:twoCellAnchor editAs="oneCell">
    <xdr:from>
      <xdr:col>7</xdr:col>
      <xdr:colOff>490074</xdr:colOff>
      <xdr:row>72</xdr:row>
      <xdr:rowOff>960</xdr:rowOff>
    </xdr:from>
    <xdr:to>
      <xdr:col>12</xdr:col>
      <xdr:colOff>225136</xdr:colOff>
      <xdr:row>90</xdr:row>
      <xdr:rowOff>188005</xdr:rowOff>
    </xdr:to>
    <xdr:pic>
      <xdr:nvPicPr>
        <xdr:cNvPr id="6" name="Imagen 5">
          <a:extLst>
            <a:ext uri="{FF2B5EF4-FFF2-40B4-BE49-F238E27FC236}">
              <a16:creationId xmlns:a16="http://schemas.microsoft.com/office/drawing/2014/main" id="{A5DA3D32-93CA-4835-B517-6028D3402BBE}"/>
            </a:ext>
          </a:extLst>
        </xdr:cNvPr>
        <xdr:cNvPicPr>
          <a:picLocks noChangeAspect="1"/>
        </xdr:cNvPicPr>
      </xdr:nvPicPr>
      <xdr:blipFill>
        <a:blip xmlns:r="http://schemas.openxmlformats.org/officeDocument/2006/relationships" r:embed="rId5" cstate="print">
          <a:clrChange>
            <a:clrFrom>
              <a:srgbClr val="FFFFFF"/>
            </a:clrFrom>
            <a:clrTo>
              <a:srgbClr val="FFFFFF">
                <a:alpha val="0"/>
              </a:srgbClr>
            </a:clrTo>
          </a:clrChange>
        </a:blip>
        <a:stretch>
          <a:fillRect/>
        </a:stretch>
      </xdr:blipFill>
      <xdr:spPr>
        <a:xfrm>
          <a:off x="9149165" y="17076687"/>
          <a:ext cx="10368426" cy="4083636"/>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11</xdr:col>
      <xdr:colOff>585107</xdr:colOff>
      <xdr:row>30</xdr:row>
      <xdr:rowOff>81643</xdr:rowOff>
    </xdr:from>
    <xdr:to>
      <xdr:col>15</xdr:col>
      <xdr:colOff>117738</xdr:colOff>
      <xdr:row>42</xdr:row>
      <xdr:rowOff>3786</xdr:rowOff>
    </xdr:to>
    <xdr:pic>
      <xdr:nvPicPr>
        <xdr:cNvPr id="5" name="Imagen 4">
          <a:extLst>
            <a:ext uri="{FF2B5EF4-FFF2-40B4-BE49-F238E27FC236}">
              <a16:creationId xmlns:a16="http://schemas.microsoft.com/office/drawing/2014/main" id="{207E1451-6852-4D6F-B2E2-E5344C9CE482}"/>
            </a:ext>
          </a:extLst>
        </xdr:cNvPr>
        <xdr:cNvPicPr>
          <a:picLocks noChangeAspect="1"/>
        </xdr:cNvPicPr>
      </xdr:nvPicPr>
      <xdr:blipFill>
        <a:blip xmlns:r="http://schemas.openxmlformats.org/officeDocument/2006/relationships" r:embed="rId1" cstate="print"/>
        <a:stretch>
          <a:fillRect/>
        </a:stretch>
      </xdr:blipFill>
      <xdr:spPr>
        <a:xfrm>
          <a:off x="8790214" y="8436429"/>
          <a:ext cx="5152381" cy="2371429"/>
        </a:xfrm>
        <a:prstGeom prst="rect">
          <a:avLst/>
        </a:prstGeom>
      </xdr:spPr>
    </xdr:pic>
    <xdr:clientData/>
  </xdr:twoCellAnchor>
  <xdr:twoCellAnchor editAs="oneCell">
    <xdr:from>
      <xdr:col>11</xdr:col>
      <xdr:colOff>68035</xdr:colOff>
      <xdr:row>44</xdr:row>
      <xdr:rowOff>40819</xdr:rowOff>
    </xdr:from>
    <xdr:to>
      <xdr:col>14</xdr:col>
      <xdr:colOff>530679</xdr:colOff>
      <xdr:row>47</xdr:row>
      <xdr:rowOff>168607</xdr:rowOff>
    </xdr:to>
    <xdr:pic>
      <xdr:nvPicPr>
        <xdr:cNvPr id="6" name="Imagen 5">
          <a:extLst>
            <a:ext uri="{FF2B5EF4-FFF2-40B4-BE49-F238E27FC236}">
              <a16:creationId xmlns:a16="http://schemas.microsoft.com/office/drawing/2014/main" id="{007086D9-98A3-48FF-BAEF-99607651E4CB}"/>
            </a:ext>
          </a:extLst>
        </xdr:cNvPr>
        <xdr:cNvPicPr>
          <a:picLocks noChangeAspect="1"/>
        </xdr:cNvPicPr>
      </xdr:nvPicPr>
      <xdr:blipFill rotWithShape="1">
        <a:blip xmlns:r="http://schemas.openxmlformats.org/officeDocument/2006/relationships" r:embed="rId2" cstate="print"/>
        <a:srcRect t="23812"/>
        <a:stretch/>
      </xdr:blipFill>
      <xdr:spPr>
        <a:xfrm>
          <a:off x="8273142" y="9552212"/>
          <a:ext cx="5089072" cy="740110"/>
        </a:xfrm>
        <a:prstGeom prst="rect">
          <a:avLst/>
        </a:prstGeom>
      </xdr:spPr>
    </xdr:pic>
    <xdr:clientData/>
  </xdr:twoCellAnchor>
  <xdr:twoCellAnchor editAs="oneCell">
    <xdr:from>
      <xdr:col>3</xdr:col>
      <xdr:colOff>163287</xdr:colOff>
      <xdr:row>39</xdr:row>
      <xdr:rowOff>81643</xdr:rowOff>
    </xdr:from>
    <xdr:to>
      <xdr:col>8</xdr:col>
      <xdr:colOff>789214</xdr:colOff>
      <xdr:row>61</xdr:row>
      <xdr:rowOff>369502</xdr:rowOff>
    </xdr:to>
    <xdr:pic>
      <xdr:nvPicPr>
        <xdr:cNvPr id="11" name="Imagen 10">
          <a:extLst>
            <a:ext uri="{FF2B5EF4-FFF2-40B4-BE49-F238E27FC236}">
              <a16:creationId xmlns:a16="http://schemas.microsoft.com/office/drawing/2014/main" id="{038F84ED-686A-4D39-8E69-813F2F207FD1}"/>
            </a:ext>
          </a:extLst>
        </xdr:cNvPr>
        <xdr:cNvPicPr>
          <a:picLocks noChangeAspect="1"/>
        </xdr:cNvPicPr>
      </xdr:nvPicPr>
      <xdr:blipFill>
        <a:blip xmlns:r="http://schemas.openxmlformats.org/officeDocument/2006/relationships" r:embed="rId3" cstate="print"/>
        <a:stretch>
          <a:fillRect/>
        </a:stretch>
      </xdr:blipFill>
      <xdr:spPr>
        <a:xfrm>
          <a:off x="3646716" y="11280322"/>
          <a:ext cx="7361462" cy="5308894"/>
        </a:xfrm>
        <a:prstGeom prst="rect">
          <a:avLst/>
        </a:prstGeom>
      </xdr:spPr>
    </xdr:pic>
    <xdr:clientData/>
  </xdr:twoCellAnchor>
  <xdr:twoCellAnchor editAs="oneCell">
    <xdr:from>
      <xdr:col>17</xdr:col>
      <xdr:colOff>0</xdr:colOff>
      <xdr:row>16</xdr:row>
      <xdr:rowOff>0</xdr:rowOff>
    </xdr:from>
    <xdr:to>
      <xdr:col>21</xdr:col>
      <xdr:colOff>219606</xdr:colOff>
      <xdr:row>30</xdr:row>
      <xdr:rowOff>70190</xdr:rowOff>
    </xdr:to>
    <xdr:pic>
      <xdr:nvPicPr>
        <xdr:cNvPr id="2" name="Imagen 1">
          <a:extLst>
            <a:ext uri="{FF2B5EF4-FFF2-40B4-BE49-F238E27FC236}">
              <a16:creationId xmlns:a16="http://schemas.microsoft.com/office/drawing/2014/main" id="{F90811E6-7DEC-42E1-848F-6355947A11BF}"/>
            </a:ext>
          </a:extLst>
        </xdr:cNvPr>
        <xdr:cNvPicPr>
          <a:picLocks noChangeAspect="1"/>
        </xdr:cNvPicPr>
      </xdr:nvPicPr>
      <xdr:blipFill>
        <a:blip xmlns:r="http://schemas.openxmlformats.org/officeDocument/2006/relationships" r:embed="rId4" cstate="print"/>
        <a:stretch>
          <a:fillRect/>
        </a:stretch>
      </xdr:blipFill>
      <xdr:spPr>
        <a:xfrm>
          <a:off x="14097000" y="4898571"/>
          <a:ext cx="6628571" cy="4533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69273</xdr:colOff>
      <xdr:row>1</xdr:row>
      <xdr:rowOff>173180</xdr:rowOff>
    </xdr:from>
    <xdr:to>
      <xdr:col>3</xdr:col>
      <xdr:colOff>502227</xdr:colOff>
      <xdr:row>3</xdr:row>
      <xdr:rowOff>173180</xdr:rowOff>
    </xdr:to>
    <xdr:pic>
      <xdr:nvPicPr>
        <xdr:cNvPr id="3" name="Imagen 2">
          <a:extLst>
            <a:ext uri="{FF2B5EF4-FFF2-40B4-BE49-F238E27FC236}">
              <a16:creationId xmlns:a16="http://schemas.microsoft.com/office/drawing/2014/main" id="{C6BC3CC8-ACF9-4862-9B31-6BEB19650D6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273" y="380998"/>
          <a:ext cx="2234045" cy="7273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684437</xdr:colOff>
      <xdr:row>1</xdr:row>
      <xdr:rowOff>81643</xdr:rowOff>
    </xdr:from>
    <xdr:to>
      <xdr:col>3</xdr:col>
      <xdr:colOff>898072</xdr:colOff>
      <xdr:row>3</xdr:row>
      <xdr:rowOff>217716</xdr:rowOff>
    </xdr:to>
    <xdr:pic>
      <xdr:nvPicPr>
        <xdr:cNvPr id="3" name="Imagen 2">
          <a:extLst>
            <a:ext uri="{FF2B5EF4-FFF2-40B4-BE49-F238E27FC236}">
              <a16:creationId xmlns:a16="http://schemas.microsoft.com/office/drawing/2014/main" id="{D7C4E11A-F92E-4040-9002-C89D67BE93E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2651" y="285750"/>
          <a:ext cx="2404385" cy="816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1</xdr:row>
      <xdr:rowOff>158749</xdr:rowOff>
    </xdr:from>
    <xdr:to>
      <xdr:col>1</xdr:col>
      <xdr:colOff>2174875</xdr:colOff>
      <xdr:row>3</xdr:row>
      <xdr:rowOff>111124</xdr:rowOff>
    </xdr:to>
    <xdr:pic>
      <xdr:nvPicPr>
        <xdr:cNvPr id="3" name="Imagen 2">
          <a:extLst>
            <a:ext uri="{FF2B5EF4-FFF2-40B4-BE49-F238E27FC236}">
              <a16:creationId xmlns:a16="http://schemas.microsoft.com/office/drawing/2014/main" id="{0C0511ED-72D5-4059-8F61-780B4ECB8D7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25" y="365124"/>
          <a:ext cx="2127250" cy="650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421821</xdr:colOff>
      <xdr:row>0</xdr:row>
      <xdr:rowOff>163286</xdr:rowOff>
    </xdr:from>
    <xdr:to>
      <xdr:col>2</xdr:col>
      <xdr:colOff>2019030</xdr:colOff>
      <xdr:row>4</xdr:row>
      <xdr:rowOff>13608</xdr:rowOff>
    </xdr:to>
    <xdr:pic>
      <xdr:nvPicPr>
        <xdr:cNvPr id="2" name="Imagen 1">
          <a:extLst>
            <a:ext uri="{FF2B5EF4-FFF2-40B4-BE49-F238E27FC236}">
              <a16:creationId xmlns:a16="http://schemas.microsoft.com/office/drawing/2014/main" id="{6D48503E-A42E-47C4-88C6-853D88DA37BD}"/>
            </a:ext>
          </a:extLst>
        </xdr:cNvPr>
        <xdr:cNvPicPr>
          <a:picLocks noChangeAspect="1"/>
        </xdr:cNvPicPr>
      </xdr:nvPicPr>
      <xdr:blipFill rotWithShape="1">
        <a:blip xmlns:r="http://schemas.openxmlformats.org/officeDocument/2006/relationships" r:embed="rId1"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l="4918" t="13158" r="7377" b="17769"/>
        <a:stretch/>
      </xdr:blipFill>
      <xdr:spPr>
        <a:xfrm>
          <a:off x="1183821" y="163286"/>
          <a:ext cx="2444934" cy="1212397"/>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421821</xdr:colOff>
      <xdr:row>0</xdr:row>
      <xdr:rowOff>163286</xdr:rowOff>
    </xdr:from>
    <xdr:to>
      <xdr:col>5</xdr:col>
      <xdr:colOff>2019030</xdr:colOff>
      <xdr:row>4</xdr:row>
      <xdr:rowOff>13608</xdr:rowOff>
    </xdr:to>
    <xdr:pic>
      <xdr:nvPicPr>
        <xdr:cNvPr id="2" name="Imagen 1">
          <a:extLst>
            <a:ext uri="{FF2B5EF4-FFF2-40B4-BE49-F238E27FC236}">
              <a16:creationId xmlns:a16="http://schemas.microsoft.com/office/drawing/2014/main" id="{8E9E031A-1A3A-490F-BD50-729EE1273CDB}"/>
            </a:ext>
          </a:extLst>
        </xdr:cNvPr>
        <xdr:cNvPicPr>
          <a:picLocks noChangeAspect="1"/>
        </xdr:cNvPicPr>
      </xdr:nvPicPr>
      <xdr:blipFill rotWithShape="1">
        <a:blip xmlns:r="http://schemas.openxmlformats.org/officeDocument/2006/relationships" r:embed="rId1"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l="4918" t="13158" r="7377" b="17769"/>
        <a:stretch/>
      </xdr:blipFill>
      <xdr:spPr>
        <a:xfrm>
          <a:off x="1183821" y="163286"/>
          <a:ext cx="2440852" cy="1211036"/>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217714</xdr:colOff>
      <xdr:row>1</xdr:row>
      <xdr:rowOff>244929</xdr:rowOff>
    </xdr:from>
    <xdr:to>
      <xdr:col>5</xdr:col>
      <xdr:colOff>1537607</xdr:colOff>
      <xdr:row>3</xdr:row>
      <xdr:rowOff>122464</xdr:rowOff>
    </xdr:to>
    <xdr:pic>
      <xdr:nvPicPr>
        <xdr:cNvPr id="3" name="Imagen 2">
          <a:extLst>
            <a:ext uri="{FF2B5EF4-FFF2-40B4-BE49-F238E27FC236}">
              <a16:creationId xmlns:a16="http://schemas.microsoft.com/office/drawing/2014/main" id="{97ED007F-BE5E-490F-8936-DA010E23EA3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9714" y="462643"/>
          <a:ext cx="2163536" cy="6395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149678</xdr:colOff>
      <xdr:row>1</xdr:row>
      <xdr:rowOff>108858</xdr:rowOff>
    </xdr:from>
    <xdr:to>
      <xdr:col>2</xdr:col>
      <xdr:colOff>1510392</xdr:colOff>
      <xdr:row>3</xdr:row>
      <xdr:rowOff>204108</xdr:rowOff>
    </xdr:to>
    <xdr:pic>
      <xdr:nvPicPr>
        <xdr:cNvPr id="3" name="Imagen 2">
          <a:extLst>
            <a:ext uri="{FF2B5EF4-FFF2-40B4-BE49-F238E27FC236}">
              <a16:creationId xmlns:a16="http://schemas.microsoft.com/office/drawing/2014/main" id="{54734128-4994-4D36-8E25-F1822E4FE5B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1678" y="312965"/>
          <a:ext cx="2272393"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544286</xdr:colOff>
      <xdr:row>1</xdr:row>
      <xdr:rowOff>95251</xdr:rowOff>
    </xdr:from>
    <xdr:to>
      <xdr:col>2</xdr:col>
      <xdr:colOff>1877785</xdr:colOff>
      <xdr:row>3</xdr:row>
      <xdr:rowOff>217715</xdr:rowOff>
    </xdr:to>
    <xdr:pic>
      <xdr:nvPicPr>
        <xdr:cNvPr id="3" name="Imagen 2">
          <a:extLst>
            <a:ext uri="{FF2B5EF4-FFF2-40B4-BE49-F238E27FC236}">
              <a16:creationId xmlns:a16="http://schemas.microsoft.com/office/drawing/2014/main" id="{83D8201E-7073-407B-907B-1C83EF49A46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06286" y="299358"/>
          <a:ext cx="2095499" cy="721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2.%20Mejoramiento%20Continuo\6.%20Mapa%20de%20riesgos\MR-MC-01%20EJMP%20RIESGO%20FISCAL.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1\SISTEMA%20DE%20GESTI&#210;N%20DE%20CALIDAD%20IDUVI%20%20ISO%209001%20-%202015\5.%20Habitabilidad\6.%20Mapa%20de%20Riesgos\FO-MC-14%20Seguimiento%20Mapa%20de%20Riesgo%20H-202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5.%20Habitabilidad\6.%20Mapa%20de%20Riesgos\FO-MC-14%20Seguimiento%20Mapa%20de%20Riesgo%20H-202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2.%20Mejoramiento%20Continuo\6.%20Mapa%20de%20riesgos\FO-MC-14%20Seguimiento%20Mapa%20de%20Riesgo%20MC-2024.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3.%20Atenci&#243;n%20al%20Ciudadano%20y%20Comunicaciones\6.%20Mapa%20de%20riesgos\FO-MC-14%20Seguimiento%20Mapa%20de%20Riesgo%20AC-2024.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RVER1\SISTEMA%20DE%20GESTI&#210;N%20DE%20CALIDAD%20IDUVI%20%20ISO%209001%20-%202015\14.%20Gesti&#243;n%20Financiera\6.%20Mapa%20de%20Riesgos\FO-MC-14%20Seguimiento%20Mapa%20de%20Riesgos%20por%20Proceso%20GF-202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ER1\SISTEMA%20DE%20GESTI&#210;N%20DE%20CALIDAD%20IDUVI%20%20ISO%209001%20-%202015\15.%20Evaluaci&#243;n%20Independiente\6.%20Mapa%20de%20Riesgos\FO-MC-14%20Seguimiento%20Mapa%20de%20Riesgos%20por%20Proceso%20EI-2023.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5.%20Evaluaci&#243;n%20Independiente\6.%20Mapa%20de%20Riesgos\FO-MC-14%20Seguimiento%20Mapa%20de%20Riesgo%20EI-2024.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8.%20Gesti&#243;n%20Jur&#237;dica\6.%20Mapa%20de%20riesgos\FO-MC-14%20Seguimiento%20Mapa%20de%20Riesgo%20GJ-2024.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RVER1\SISTEMA%20DE%20GESTI&#210;N%20DE%20CALIDAD%20IDUVI%20%20ISO%209001%20-%202015\1.%20Planeaci&#243;n%20Institucional\6.%20Mapa%20de%20riesgos\FO-MC-14%20Seguimiento%20Mapa%20de%20Riesgos%20PI-2023.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20Planeaci&#243;n%20Institucional\6.%20Mapa%20de%20riesgos\FO-MC-14%20Seguimiento%20Mapa%20de%20Riesgo%20PI-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1\SISTEMA%20DE%20GESTI&#210;N%20DE%20CALIDAD%20IDUVI%20%20ISO%209001%20-%202015\13.%20Gesti&#243;n%20de%20Recursos%20Fisicos\6.%20Mapa%20de%20riesgos\FO-MC-14%20Seguimiento%20Mapa%20de%20Riesgos%20por%20Proceso%20GRF-2023.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9.%20Contrataci&#243;n\6.%20Mapa%20de%20Riesgos\FO-MC-14%20Seguimiento%20Mapa%20de%20Riesgo%20C-2024.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6.%20Espacio%20P&#250;blico\6.%20Mapa%20de%20Riesgos\FO-MC-14%20Seguimiento%20Mapa%20de%20Riesgo%20EP-2024.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4.%20Gesti&#243;n%20Financiera\6.%20Mapa%20de%20Riesgos\FO-MC-14%20Seguimiento%20Mapa%20de%20Riesgos%20por%20Proceso%20GF-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2.%20Gesti&#243;n%20Documental\6.%20Mapa%20de%20riesgos\FO-MC-14%20Seguimiento%20Mapa%20de%20Riesgo%20GD-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4.%20Gesti&#243;n%20Inmobiliaria\6.%20Mapa%20de%20riesgos\FO-MC-14%20Seguimiento%20Mapa%20de%20Riesgo%20GI-202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0.%20Gesti&#243;n%20Humana\6.%20Mapa%20de%20riesgos\FO-MC-14%20Seguimiento%20Mapa%20de%20Riesgo%20GH-202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1.%20Gesti&#243;n%20TICS\6.%20Mapa%20de%20riesgos\FO-MC-14%20Seguimiento%20Mapa%20de%20Riesgo%20GT-20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FO-MC-14%20Seguimiento%20Mapa%20de%20Riesgos%20por%20Proceso%20GRF-202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13.%20Gesti&#243;n%20de%20Recursos%20Fisicos\6.%20Mapa%20de%20riesgos\FO-MC-14%20Seguimiento%20Mapa%20de%20Riesgos%20por%20Proceso%20GRF-202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1\sgs%20iduvi\SISTEMA%20DE%20GESTI&#210;N%20DE%20CALIDAD%20IDUVI%20%20ISO%209001%20-%202015\7.%20Gesti&#243;n%20Social\6.%20Mapa%20de%20riesgos\FO-MC-14%20Seguimiento%20Mapa%20de%20Riesgo%20GS-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de Riesgos"/>
      <sheetName val="Valoración del Control"/>
      <sheetName val="Evaluación-Tratamiento"/>
      <sheetName val="Riesgo de los procesos"/>
      <sheetName val="KRI"/>
      <sheetName val="Riesgos de Corrupción"/>
      <sheetName val="Controles de Corrupción"/>
      <sheetName val="Control Residuales"/>
      <sheetName val="Seguimiento"/>
      <sheetName val="Atributos"/>
      <sheetName val="Matriz de Calor"/>
      <sheetName val="Tablas"/>
      <sheetName val="Afectación"/>
      <sheetName val="Listas"/>
      <sheetName val="Lista C"/>
    </sheetNames>
    <sheetDataSet>
      <sheetData sheetId="0"/>
      <sheetData sheetId="1"/>
      <sheetData sheetId="2"/>
      <sheetData sheetId="3"/>
      <sheetData sheetId="4"/>
      <sheetData sheetId="5"/>
      <sheetData sheetId="6"/>
      <sheetData sheetId="7"/>
      <sheetData sheetId="8"/>
      <sheetData sheetId="9">
        <row r="4">
          <cell r="B4" t="str">
            <v>Control PreventivoAutomático</v>
          </cell>
          <cell r="C4" t="str">
            <v>Control Preventivo</v>
          </cell>
          <cell r="D4" t="str">
            <v>Automático</v>
          </cell>
          <cell r="E4">
            <v>0.5</v>
          </cell>
        </row>
        <row r="5">
          <cell r="B5" t="str">
            <v>Control PreventivoManual</v>
          </cell>
          <cell r="C5" t="str">
            <v>Control Preventivo</v>
          </cell>
          <cell r="D5" t="str">
            <v>Manual</v>
          </cell>
          <cell r="E5">
            <v>0.4</v>
          </cell>
        </row>
        <row r="6">
          <cell r="B6" t="str">
            <v>Control DetectivoAutomático</v>
          </cell>
          <cell r="C6" t="str">
            <v>Control Detectivo</v>
          </cell>
          <cell r="D6" t="str">
            <v>Automático</v>
          </cell>
          <cell r="E6">
            <v>0.4</v>
          </cell>
        </row>
        <row r="7">
          <cell r="B7" t="str">
            <v>Control DetectivoManual</v>
          </cell>
          <cell r="C7" t="str">
            <v>Control Detectivo</v>
          </cell>
          <cell r="D7" t="str">
            <v>Manual</v>
          </cell>
          <cell r="E7">
            <v>0.3</v>
          </cell>
        </row>
        <row r="8">
          <cell r="B8" t="str">
            <v>Control CorrectivoAutomático</v>
          </cell>
          <cell r="C8" t="str">
            <v>Control Correctivo</v>
          </cell>
          <cell r="D8" t="str">
            <v>Automático</v>
          </cell>
          <cell r="E8">
            <v>0.35</v>
          </cell>
        </row>
        <row r="9">
          <cell r="B9" t="str">
            <v>Control CorrectivoManual</v>
          </cell>
          <cell r="C9" t="str">
            <v>Control Correctivo</v>
          </cell>
          <cell r="D9" t="str">
            <v>Manual</v>
          </cell>
          <cell r="E9">
            <v>0.25</v>
          </cell>
        </row>
      </sheetData>
      <sheetData sheetId="10"/>
      <sheetData sheetId="11"/>
      <sheetData sheetId="12"/>
      <sheetData sheetId="13"/>
      <sheetData sheetId="1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efreshError="1">
        <row r="10">
          <cell r="I10">
            <v>0.2</v>
          </cell>
        </row>
        <row r="19">
          <cell r="I19">
            <v>0.23076923076923078</v>
          </cell>
        </row>
        <row r="20">
          <cell r="I20">
            <v>0.38461538461538464</v>
          </cell>
        </row>
        <row r="21">
          <cell r="I21">
            <v>0.46153846153846156</v>
          </cell>
        </row>
        <row r="22">
          <cell r="I22">
            <v>0.61599999999999999</v>
          </cell>
        </row>
        <row r="23">
          <cell r="I23">
            <v>1</v>
          </cell>
        </row>
        <row r="24">
          <cell r="I24">
            <v>1</v>
          </cell>
        </row>
      </sheetData>
      <sheetData sheetId="1" refreshError="1"/>
      <sheetData sheetId="2" refreshError="1"/>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K10" t="str">
            <v>OK</v>
          </cell>
        </row>
        <row r="11">
          <cell r="K11" t="str">
            <v>CON RELACION AL PRIMER CUATRIMESTRE, EL PRESENTE TUVO UN AUMENTO EN EL NUMERO DE SOLICITUDES DEL 350%, DE LAS CUALES SE RECIBIERON 4 ENTRE LA SEGUNDA Y LA TERCERA SEMANA DEL MES DE AGOSTO EL CUAL NO HA FINALIZADO..</v>
          </cell>
        </row>
        <row r="12">
          <cell r="K12" t="str">
            <v>OK</v>
          </cell>
        </row>
        <row r="13">
          <cell r="K13" t="str">
            <v>EN ESTE MOMENTO ESTA EN PROCESO LA RESOLUCION 32 Y 136.PARA EL</v>
          </cell>
        </row>
        <row r="14">
          <cell r="K14" t="str">
            <v>A PESAR DE SOCIALIZAR LOS REQUISITOS PARA POSTULACION DE LOS DIFERENTES SUBSIDIOS, LOS CIUDADANOS (AS) RADICAN CON LA DOCUMENTACION INCOMPLETA.</v>
          </cell>
        </row>
        <row r="15">
          <cell r="K15" t="str">
            <v>OK</v>
          </cell>
        </row>
        <row r="16">
          <cell r="K16" t="str">
            <v>EN ESTE MOMENTO ESTA EN PROCESO LA RESOLUCION 32.  POR LO ANTERIOR, NO SE TIENE AUN EL NUMERO DE PERSONAS FAVORECIDAS PARA LOS SUBSIDIOS</v>
          </cell>
        </row>
      </sheetData>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0.42857142857142855</v>
          </cell>
          <cell r="K10" t="str">
            <v>Se realizan 6 mesas de trabajo con el objetrivo de identificar el estado del proceso para la preparación hacia la auditoría externa con gestión humana, recursos físicos, documental, habitabilidad, inmobiliaria y social.</v>
          </cell>
        </row>
        <row r="11">
          <cell r="I11">
            <v>0.42857142857142855</v>
          </cell>
          <cell r="K11" t="str">
            <v>No se han realizado mas auditorias puesto que el cargo estaba en vacancia hasta el 1 de Agosto, se realizo la Auditoria Externa de Calidad.</v>
          </cell>
        </row>
        <row r="12">
          <cell r="I12">
            <v>1</v>
          </cell>
          <cell r="K12" t="str">
            <v>Se atendio la auditoria externa de recertificación ICONTEC, se realizarón mesas de trabajo con los responsables de proceso para adelantar plan de mejoramiento</v>
          </cell>
        </row>
      </sheetData>
      <sheetData sheetId="1"/>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0.87356321839080464</v>
          </cell>
          <cell r="K10" t="str">
            <v>Durante el primer cuatrimestre de 2024, se evaluó el cumplimiento de los requisitos de oportunidad y materialidad en las respuestas del IDUVI a las peticiones (PQRSDF) presentados por ciudadanos y entidades. Las comunicaciones se recibieron mayoritariamente por los siguientes medios:
• Correo electrónico: 647 solicitudes (67.6%)
• Ventanilla: 253 solicitudes (26.4%)
• Correo certificado: 57 solicitudes (6.0%)
En total, se gestionaron 957 PQRSDF, de las cuales 403 fueron atendidas de manera oportuna, y 433 se tramitaron, aunque no requerían respuesta (NRR). Esto representa un 87.5% de las solicitudes gestionadas (836 de 957).
Las principales áreas responsables de la atención fueron:
• Asuntos Jurídicos: 191 solicitudes (19.9%)
• Subgerencia de Desarrollo y Recursos Humanos: 145 solicitudes (15.1%)
• Área de Servicios Administrativos: 127 solicitudes (13.3%)</v>
          </cell>
        </row>
        <row r="11">
          <cell r="I11">
            <v>0.75458392101551486</v>
          </cell>
          <cell r="K11" t="str">
            <v>Durante el segundo cuatrimestre de 2024, se evaluó el cumplimiento de los requisitos de oportunidad y materialidad en las respuestas del (IDUVI) a las (PQRSDF) presentadas por ciudadanos y entidades. Las comunicaciones se recibieron mayoritariamente por los siguientes medios:
• Correo electrónico: 948 solicitudes (66.8%)
• Ventanilla: 402 solicitudes (28.3%)
• Correo certificado: 68 solicitudes (4.8%)
En total, se gestionaron 1,418 PQRSDF, de las cuales 512 fueron atendidas de manera oportuna, y 558 se tramitaron aunque no requerían respuesta (NRR). Esto representa un 75.5% de las solicitudes gestionadas (1,070 de 1,418).
Las principales áreas responsables de la atención fueron:
• Asuntos Jurídicos: 284 solicitudes (20.0%)
• Vivienda y Hábitat: 175 solicitudes (12.3%)
• Área de Gestión Inmobiliaria: 171 solicitudes (12.1%)
• Área de Recursos Humanos: 145 solicitudes (10.2%)</v>
          </cell>
        </row>
        <row r="12">
          <cell r="I12">
            <v>0.86595744680851061</v>
          </cell>
          <cell r="K12" t="str">
            <v>Durante el tercer cuatrimestre de 2024, se evaluó el cumplimiento de los requisitos de oportunidad y materialidad en las respuestas del IDUVI a las PQRSDF (Peticiones, Quejas, Reclamos, Sugerencias y Denuncias) presentadas por ciudadanos y entidades. Las comunicaciones se recibieron mayoritariamente a través de los siguientes medios:
Correo electrónico: 935 solicitudes (66.31%)
Ventanilla: 461 solicitudes (32.70%)
Página web: 14 solicitudes (0.99%)
En total, se gestionaron 1,410 PQRSDF, de las cuales:
566 fueron atendidas de manera oportuna (40.14% del total).
665 se tramitaron aunque no requerían respuesta (NRR) (47.16% del total).
105 solicitudes fueron respondidas extemporáneamente (7.45% del total).</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efreshError="1">
        <row r="10">
          <cell r="I10">
            <v>0.12536261187483763</v>
          </cell>
          <cell r="K10" t="str">
            <v>Ppto ejecutado: 3.372.533.971,00 siendo el apropiado de 26.902.231.220,00</v>
          </cell>
        </row>
        <row r="11">
          <cell r="I11">
            <v>0.37530664559803739</v>
          </cell>
          <cell r="K11" t="str">
            <v>Ppto ejecutado: 11.669.565.049,00 siendo el apropiado de 31.173.349.010,00</v>
          </cell>
        </row>
        <row r="12">
          <cell r="I12">
            <v>0.62705384297634303</v>
          </cell>
          <cell r="K12" t="str">
            <v>Ppto ejecutado: 21.856.827.872,75 siendo el apropiado de 34.856.381.342,00</v>
          </cell>
        </row>
        <row r="18">
          <cell r="I18">
            <v>4.5449445971373426E-3</v>
          </cell>
        </row>
        <row r="19">
          <cell r="I19">
            <v>1</v>
          </cell>
          <cell r="J19" t="str">
            <v>Excelente gestión</v>
          </cell>
        </row>
        <row r="20">
          <cell r="I20">
            <v>1</v>
          </cell>
          <cell r="J20" t="str">
            <v>Excelente gestión</v>
          </cell>
        </row>
        <row r="21">
          <cell r="I21">
            <v>1</v>
          </cell>
          <cell r="J21" t="str">
            <v>Excelente gestión</v>
          </cell>
        </row>
      </sheetData>
      <sheetData sheetId="1" refreshError="1"/>
      <sheetData sheetId="2" refreshError="1"/>
      <sheetData sheetId="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efreshError="1">
        <row r="10">
          <cell r="I10">
            <v>0.40206185567010311</v>
          </cell>
        </row>
        <row r="11">
          <cell r="I11">
            <v>0.68041237113402064</v>
          </cell>
        </row>
        <row r="12">
          <cell r="I12">
            <v>1</v>
          </cell>
        </row>
        <row r="13">
          <cell r="I13">
            <v>0.2</v>
          </cell>
        </row>
        <row r="14">
          <cell r="I14">
            <v>0.4</v>
          </cell>
        </row>
        <row r="15">
          <cell r="I15">
            <v>0.60000000000000009</v>
          </cell>
        </row>
        <row r="16">
          <cell r="I16">
            <v>0.2857142857142857</v>
          </cell>
        </row>
        <row r="17">
          <cell r="I17">
            <v>0.71428571428571419</v>
          </cell>
        </row>
        <row r="18">
          <cell r="I18">
            <v>0.82857142857142851</v>
          </cell>
        </row>
      </sheetData>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K10" t="str">
            <v xml:space="preserve">Se reportan de acuerdo a las fechas establecidas por los entes de control, y se hace seguimiento mediante cronograma interno </v>
          </cell>
        </row>
        <row r="11">
          <cell r="K11" t="str">
            <v>Se está dando cumplimiento a la presentación de informes</v>
          </cell>
        </row>
        <row r="12">
          <cell r="K12" t="str">
            <v>Se dio cumplimiento a la presentación de los informes requeridos por los entes de control</v>
          </cell>
        </row>
        <row r="13">
          <cell r="K13" t="str">
            <v>En la vigencia se han adelantado tres (3) auditorias internas</v>
          </cell>
        </row>
        <row r="14">
          <cell r="K14" t="str">
            <v>Se encuentra en proceso la auditoria a Gestión Social</v>
          </cell>
        </row>
        <row r="15">
          <cell r="K15" t="str">
            <v>Quedó pendiente una auditoria de las 7 programadas para la vigencia 2024</v>
          </cell>
        </row>
        <row r="16">
          <cell r="K16" t="str">
            <v xml:space="preserve">Se cerraron 10 de los 19 hallazgos del plan de mejoramiento vig. 2022. Y por parte de la Alcaldía Municipal se suscribio Plan de mejoramiento con 2 hallazgos a cargo del IDUVI </v>
          </cell>
        </row>
        <row r="17">
          <cell r="K17" t="str">
            <v>El Plan de mejoramiento vig. 2022 se cerró con el cumplimiento de 10 hallazgos toda vez que correspondia a las metas del plan de desarrollo 2020-2023</v>
          </cell>
        </row>
        <row r="18">
          <cell r="K18" t="str">
            <v>Se deben tener en cuenta las recomendaciones presentadas por los entes de control y las actividades propuestas para el mejoramiento de la gestión en la entidad.</v>
          </cell>
        </row>
      </sheetData>
      <sheetData sheetId="1"/>
      <sheetData sheetId="2"/>
      <sheetData sheetId="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0.81818181818181823</v>
          </cell>
          <cell r="K10" t="str">
            <v>Se realiza la proyección de 11 procesos contractuales, de los cuales se han publicado 8 por contratación directa y 1 por invitación pública.</v>
          </cell>
        </row>
        <row r="11">
          <cell r="I11">
            <v>1</v>
          </cell>
          <cell r="K11" t="str">
            <v>a fecha de hoy estan en curso 16 procesos judiciales en los diferentes despachos judiciales los estados a la fecha se encuentran al dia</v>
          </cell>
        </row>
        <row r="12">
          <cell r="I12">
            <v>1</v>
          </cell>
          <cell r="K12" t="str">
            <v>a fecha de hoy estan en curso 14 procesos judiciales en los diferentes despachos judiciales los estados a la fecha se encuentran al dia</v>
          </cell>
        </row>
        <row r="13">
          <cell r="K13" t="str">
            <v>No hubo adquisición predial</v>
          </cell>
        </row>
        <row r="14">
          <cell r="I14" t="e">
            <v>#DIV/0!</v>
          </cell>
          <cell r="K14" t="str">
            <v>No hubo adquisición predial</v>
          </cell>
        </row>
        <row r="15">
          <cell r="I15">
            <v>1</v>
          </cell>
          <cell r="K15" t="str">
            <v>Para esta vigencia se cumple con el objetivo porpuesto de adquisicion de dos predios enominados "torca 2" y "la iItalia" cumpliendo asi con el objetivo propuesto</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efreshError="1">
        <row r="10">
          <cell r="I10">
            <v>0.66666666666666663</v>
          </cell>
        </row>
        <row r="11">
          <cell r="I11">
            <v>0.66666666666666663</v>
          </cell>
        </row>
        <row r="12">
          <cell r="I12">
            <v>0.73333333333333328</v>
          </cell>
        </row>
      </sheetData>
      <sheetData sheetId="1" refreshError="1"/>
      <sheetData sheetId="2" refreshError="1"/>
      <sheetData sheetId="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K10" t="str">
            <v>Durante el primer semetre del 2024 se esta realizando la elaboración del nuevo plan de desarrollo, del PDM vigente se estan realizando ejecutando las metas 154,157,159,163 y 165. En las cuales se realizan la actividades de cuidado y conservación de los predios de importancia estrategica hidrica y ambiental , la administración de los bienes fiscales, la convocatoria de subsidios de mejoramiento de vivienda y de construcción en sitio propio, entre otras.</v>
          </cell>
        </row>
        <row r="11">
          <cell r="K11" t="str">
            <v>Hasta el mes de julio de 2024 se continua con la ejecucion de 5 metas. En el mes de agosto de 2024 se realiza la armonizacion del presupuesto para la vigencia 2024 por lo cual a partir de este mes se da comienzo a la proyección de documentos requeridos para  contratacion estipulada en el PDM 2024-2027 en lo concerniente al IDUVI. Pasan a ser 11 metas para su seguimiento, control y cumplimiento en el PDM actual.</v>
          </cell>
        </row>
        <row r="12">
          <cell r="K12" t="str">
            <v>Se realizó seguimiento a l avance de la eejecución de las 11 metas del Plan Indicativo, logrando cumplir 6, se presentarón los resultados a la gerencia</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efreshError="1">
        <row r="10">
          <cell r="I10">
            <v>0</v>
          </cell>
        </row>
        <row r="15">
          <cell r="L15" t="str">
            <v>\\SERVER1\Administrativos\5. Servicios Administrativos\SERVICIOS ADMINISTRATIVOS 2023\CONTABILIDAD</v>
          </cell>
        </row>
        <row r="18">
          <cell r="L18" t="str">
            <v>https://www.secop.gov.co/CO1ContractsManagement/Tendering/ProcurementContractEdit/View?docUniqueIdentifier=CO1.PCCNTR.5510200&amp;prevCtxUrl=https%3a%2f%2fwww.secop.gov.co%3a443%2fCO1ContractsManagement%2fTendering%2fProcurementContractManagement%2fIndex&amp;prevCtxLbl=Contratos+
https://www.secop.gov.co/CO1ContractsManagement/Tendering/ProcurementContractEdit/View?docUniqueIdentifier=CO1.PCCNTR.5580242&amp;prevCtxUrl=https%3a%2f%2fwww.secop.gov.co%3a443%2fCO1ContractsManagement%2fTendering%2fProcurementContractManagement%2fIndex&amp;prevCtxLbl=Contratos+
https://www.secop.gov.co/CO1ContractsManagement/Tendering/ProcurementContractEdit/View?docUniqueIdentifier=CO1.PCCNTR.5654143&amp;prevCtxUrl=https%3a%2f%2fwww.secop.gov.co%3a443%2fCO1ContractsManagement%2fTendering%2fProcurementContractManagement%2fIndex&amp;prevCtxLbl=Contratos+</v>
          </cell>
        </row>
      </sheetData>
      <sheetData sheetId="1" refreshError="1"/>
      <sheetData sheetId="2" refreshError="1"/>
      <sheetData sheetId="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0.375</v>
          </cell>
          <cell r="K10" t="str">
            <v xml:space="preserve">DE LOS 16 CONTRATOS ESTABLECIDOS EN EL PAA SE CELEBRARON 6 CONTRATOS YA QUE LOS RESTANTES SE CELEBRARAN EN EL SIGUIENTE CUATRIMESTRE </v>
          </cell>
        </row>
        <row r="11">
          <cell r="I11">
            <v>0.33333333333333331</v>
          </cell>
          <cell r="K11" t="str">
            <v xml:space="preserve">Se suscribio una mayor cantidad de contratos a los previstos en este periodo atendiendo a que el periodo anteriorno se habia celebrado la cantidad prevista. </v>
          </cell>
        </row>
        <row r="12">
          <cell r="I12" t="e">
            <v>#DIV/0!</v>
          </cell>
          <cell r="K12" t="str">
            <v>OK</v>
          </cell>
        </row>
        <row r="13">
          <cell r="I13">
            <v>1</v>
          </cell>
          <cell r="K13" t="str">
            <v>Durante el cuatrimentre se suscribieron 11 contratos de los cuales ninguno a sido incumplido.</v>
          </cell>
        </row>
        <row r="14">
          <cell r="I14">
            <v>1</v>
          </cell>
          <cell r="K14" t="str">
            <v>Durante el cuatrimentre se suscribieron 8 contratos de los cuales ninguno a sido incumplido.</v>
          </cell>
        </row>
        <row r="15">
          <cell r="I15" t="e">
            <v>#DIV/0!</v>
          </cell>
          <cell r="K15" t="str">
            <v>OK</v>
          </cell>
        </row>
        <row r="16">
          <cell r="I16">
            <v>1</v>
          </cell>
          <cell r="J16" t="str">
            <v>Excelente gestión</v>
          </cell>
          <cell r="K16" t="str">
            <v xml:space="preserve">Conforme a los contratos publicados en el SECOP II, se relaciona solamente 1  invitacion pública las cuales cuentan con la respuesta de observaciones debidamente publicadas  </v>
          </cell>
        </row>
        <row r="17">
          <cell r="I17">
            <v>1</v>
          </cell>
          <cell r="J17" t="str">
            <v>Excelente gestión</v>
          </cell>
          <cell r="K17" t="str">
            <v xml:space="preserve">Conforme a los contratos publicados en el SECOP II, se relaciona solamente 1  invitacion pública las cuales cuentan con la respuesta de observaciones debidamente publicadas  </v>
          </cell>
        </row>
        <row r="18">
          <cell r="I18">
            <v>0</v>
          </cell>
          <cell r="J18" t="str">
            <v>Avance muy bajo</v>
          </cell>
          <cell r="K18" t="str">
            <v>OK</v>
          </cell>
        </row>
      </sheetData>
      <sheetData sheetId="1"/>
      <sheetData sheetId="2"/>
      <sheetData sheetId="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1</v>
          </cell>
          <cell r="K10" t="str">
            <v>Se responde el total de los oficios requeridos dado que para el término del cuatrimestre se da la terminación de la vinculación del provisional</v>
          </cell>
        </row>
        <row r="11">
          <cell r="I11">
            <v>1</v>
          </cell>
          <cell r="K11" t="str">
            <v>Se responde el total de los oficios requeridos teniendo el cuenta el ingreso hasta el mes de agosto</v>
          </cell>
        </row>
        <row r="12">
          <cell r="I12">
            <v>1</v>
          </cell>
          <cell r="K12" t="str">
            <v>Se responde el total de los oficios requeridos teniendo el cuenta el ingreso hasta el mes de agosto</v>
          </cell>
        </row>
      </sheetData>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3">
          <cell r="I13">
            <v>0.24491540006204476</v>
          </cell>
          <cell r="K13"/>
        </row>
        <row r="14">
          <cell r="I14">
            <v>3.3951725188574873E-2</v>
          </cell>
          <cell r="K14" t="str">
            <v>Recaudo realizado en el periodo</v>
          </cell>
        </row>
        <row r="15">
          <cell r="K15" t="str">
            <v>OK</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0.73260073260073255</v>
          </cell>
          <cell r="K10" t="str">
            <v>Para este seguimiento, se tuvo en cuenta que estuviera firmada la casilla de devolución de expedientes, lo que nos deja en evidencia que anteriormente no se llevaba un control estricto sobre el préstamo de expedientes. Lo anterior, puede repercutir en la pérdida de expedientes.</v>
          </cell>
        </row>
        <row r="11">
          <cell r="I11">
            <v>0.6974358974358974</v>
          </cell>
          <cell r="K11" t="str">
            <v>En este seguimiento, se pudo evidenciar que en mayo y junio no se realizó un control estricto sobre el préstamo de expedientes, sin embargo, en arás de fortalecer ese proceso se actualizó el formato y se lleva un control más estricto del préstramo a partir del 8 julio, fecha en la cual se posesionó el funcionario de carrera. Sin embargo, se realizó una verificación y se evidenció la materialización del riesgo en cuanto a que el primer semestre no se hizo un control efectivo a este.</v>
          </cell>
        </row>
        <row r="12">
          <cell r="I12">
            <v>1</v>
          </cell>
          <cell r="K12" t="str">
            <v>Para este seguimiento, se realizó un total de cuatrocientos quince (415) préstamos de expedientes de los cuales se llevo registro y seguimiento hasta su devolución con el fin de garantizar la custodia de este,</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I10">
            <v>2.9818334463495755</v>
          </cell>
          <cell r="K10" t="str">
            <v>Se realizaron 2 resoluciones de liquidación entre Enero y Abril que venían de meses anteriores</v>
          </cell>
        </row>
        <row r="11">
          <cell r="I11">
            <v>3.3895690996414802</v>
          </cell>
          <cell r="K11" t="str">
            <v>Se realizaron 5 resoluciones de liquidación entre Mato y Agosto que vienen de meses anteriores, sin embargo solo se han solicitado 2 durante el periodo de tiempo</v>
          </cell>
        </row>
        <row r="12">
          <cell r="I12">
            <v>1</v>
          </cell>
          <cell r="K12" t="str">
            <v>Para el este periodo se evidencia que desde el proceso se realizarón las resoluciones de liquidación que vienen de meses anteriores y de este periodo donde se realizarón los controles establecidos mitigando el riesgo du rante este periodo de tiempo</v>
          </cell>
        </row>
        <row r="13">
          <cell r="I13">
            <v>0.10211706102117062</v>
          </cell>
          <cell r="K13" t="str">
            <v>82 predios Georeferenciados</v>
          </cell>
        </row>
        <row r="14">
          <cell r="I14">
            <v>0.30510585305105853</v>
          </cell>
          <cell r="K14" t="str">
            <v>163 predios Georeferenciados</v>
          </cell>
        </row>
        <row r="15">
          <cell r="I15">
            <v>0.48941469489414691</v>
          </cell>
          <cell r="K15"/>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K10" t="str">
            <v xml:space="preserve">Durante el primer cuatrimestre se expidieron y notificaron  28  Resoluciones de nombramiento de los 29 cargos que salieron a concurso de  la  Comisión Nacional de Servicio Civil 
Se otorgaron 5 permisos de un dia  por el dia del cumpleaños
durante el cuatrimestre se concedieron los permisos a los funcionarios para asistir  a las citas medicas de sus hijos y a sus reuniones escolares 
Se realizo  inducción de los jefes nuevos que llegaron en el mes de enero 
Se otorgaron  6 permisos por las llegadas en bicicleta de bicicletas
Se relizo una charla de autocuidado por parte de la Secretaria de Salud al Coppast 
Se realizaron los ecamenes medicos de ingreso y las paiosas activas  </v>
          </cell>
        </row>
        <row r="11">
          <cell r="I11">
            <v>0.35416666666666669</v>
          </cell>
          <cell r="K11" t="str">
            <v xml:space="preserve">En en segundo cuatrimestre  se han  posesionados 17 funcionarios de los 29 que ganaron el concursom Se otorgaron 9 permisos de un dia  por el dia del cumpleaños, para el dia del servidos publico se entregaron chaquetas a los funcionarios de la entidad, Se realizo induccion a los funcionarios que iniciaron el periodo de prueba, Durante este cuatrimestre se celebraron los cumpleaños de los funcionarios que cumplieron en los meses de julio y agosto, entregandoles un postre y arreglandoles el puesto de trabajo  </v>
          </cell>
        </row>
        <row r="12">
          <cell r="I12">
            <v>0.85416666666666663</v>
          </cell>
          <cell r="K12" t="str">
            <v xml:space="preserve">En el tercer cuatrimestre se lograron cumplir la mayoria de actividades del plan de bienesr, de capacitacion sin embargo no fue posible cumplir con todas las actividades del plan de seguridad y salud en el trabajo considerando lo siguiente: la encuesta riesgo psicosocial no se realizo, tomando en cuenta que  hubo cambio de planta de personal, la revisión de los puesto de trabajo no se realizo  porque no se  habia conformado el Copasst y la capacitación al Comite de Convivencia no se realizo teniendo en cuenta que el Comite se conformo  hasta en el mes de noviembre </v>
          </cell>
        </row>
      </sheetData>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K10" t="str">
            <v>Se establece el coronograma de mantenimientos preventivos a la infraestuctura tecnologia mediante circular 10 de 2024.
Por temas de cambio de administración y de posecion de los nuevos funcionarios en periodo de prueba se establecio por este año un mantenimiento preventivo.</v>
          </cell>
        </row>
        <row r="11">
          <cell r="I11">
            <v>1</v>
          </cell>
          <cell r="K11" t="str">
            <v>De acuerdo a la circular 10 se llevaron a cabo los mantenimientos preventivos de la infraestructura tecnológica en el mes de agosto</v>
          </cell>
        </row>
        <row r="12">
          <cell r="I12" t="e">
            <v>#DIV/0!</v>
          </cell>
          <cell r="K12" t="str">
            <v>NO APLICA</v>
          </cell>
        </row>
        <row r="13">
          <cell r="I13">
            <v>1</v>
          </cell>
          <cell r="K13" t="str">
            <v xml:space="preserve">Copias de seguridad bases de datos Orfeo y HASSQL, realizadas semanalmente. </v>
          </cell>
        </row>
        <row r="14">
          <cell r="I14">
            <v>0.58823529411764708</v>
          </cell>
          <cell r="K14" t="str">
            <v>Copias de seguridad bases de datos Orfeo y HASSQL, realizadas semanalmente.  Es de acarar que las copias de seguridad se realizaron externamnete solo 10 dado a que el funcionario estaba de vacaciones</v>
          </cell>
        </row>
        <row r="15">
          <cell r="I15" t="e">
            <v>#DIV/0!</v>
          </cell>
          <cell r="K15" t="str">
            <v>DILIGENCIAR</v>
          </cell>
        </row>
      </sheetData>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efreshError="1">
        <row r="10">
          <cell r="I10">
            <v>1</v>
          </cell>
          <cell r="K10" t="str">
            <v>Bienes inventariados sbre el total de bienes existentes en el proceso de recursos fisicos</v>
          </cell>
        </row>
        <row r="11">
          <cell r="I11">
            <v>0</v>
          </cell>
        </row>
        <row r="12">
          <cell r="I12">
            <v>0</v>
          </cell>
        </row>
        <row r="13">
          <cell r="I13">
            <v>1</v>
          </cell>
          <cell r="K13" t="str">
            <v>Mantenimeinto Predios Hidircos</v>
          </cell>
        </row>
        <row r="14">
          <cell r="I14">
            <v>0</v>
          </cell>
        </row>
        <row r="15">
          <cell r="I15">
            <v>0</v>
          </cell>
          <cell r="K15" t="str">
            <v>OK</v>
          </cell>
        </row>
      </sheetData>
      <sheetData sheetId="1" refreshError="1"/>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1">
          <cell r="K11" t="str">
            <v>Actualmente, no esta vinculado el profesional encargado de este proceso, sin embargo, al no haberse dado de baja ningún bien ya que este proceso se realiza finalizando cada año, el número de bienes inventariados coincide con el total de bienes existentes.</v>
          </cell>
        </row>
        <row r="14">
          <cell r="K14" t="str">
            <v xml:space="preserve">Se realiza el mantenimeinto de los  Predios Hidircos Altagracia, Peñas Blancas, Rincón Alpino y El Refugio, sin embargo no se presenta un plan de matenimiento. </v>
          </cell>
        </row>
      </sheetData>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uimiento"/>
      <sheetName val="S"/>
      <sheetName val="Tabla"/>
      <sheetName val="lista"/>
    </sheetNames>
    <sheetDataSet>
      <sheetData sheetId="0">
        <row r="10">
          <cell r="K10" t="str">
            <v xml:space="preserve">OK. Durante el periodo a reportar no se ha generado liquidación de compensación social. </v>
          </cell>
        </row>
        <row r="11">
          <cell r="I11">
            <v>1</v>
          </cell>
          <cell r="K11" t="str">
            <v>OK. En el periodo a reportar no se ha generado liquidación de compensación social, debido a que, en el predio que se realizó caracterización socioeconomica no aplica dicha compensación. Las demas acciones del área se han orientado al proceso de subsidios de mejoramiento de vivienda y construcción en sitio propio, así como a los proyectos de vivienda, tales como: Los Pinos, Plan Padrino y Villa Mercedes.</v>
          </cell>
        </row>
        <row r="12">
          <cell r="I12">
            <v>1</v>
          </cell>
          <cell r="K12" t="str">
            <v xml:space="preserve">OK. En el periodo a reportar no se ha generado liquidación de compensación social, debido a que, los predios: La Italia, Descanso segundo, Torca II, RT1 Y RT2 de la A.V Pradilla no cumplen con lo establecido para aplicar dicha compensación.  </v>
          </cell>
        </row>
      </sheetData>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rgb="FFCCFF66"/>
    <pageSetUpPr fitToPage="1"/>
  </sheetPr>
  <dimension ref="B1:AS32"/>
  <sheetViews>
    <sheetView zoomScale="60" zoomScaleNormal="60" workbookViewId="0">
      <selection activeCell="E5" sqref="E5"/>
    </sheetView>
  </sheetViews>
  <sheetFormatPr baseColWidth="10" defaultColWidth="11.42578125" defaultRowHeight="15" x14ac:dyDescent="0.2"/>
  <cols>
    <col min="1" max="1" width="4.42578125" style="172" customWidth="1"/>
    <col min="2" max="2" width="10.85546875" style="173" customWidth="1"/>
    <col min="3" max="3" width="22.7109375" style="174" customWidth="1"/>
    <col min="4" max="4" width="22.28515625" style="172" customWidth="1"/>
    <col min="5" max="5" width="50.28515625" style="172" customWidth="1"/>
    <col min="6" max="6" width="60.140625" style="172" customWidth="1"/>
    <col min="7" max="7" width="44.28515625" style="172" customWidth="1"/>
    <col min="8" max="8" width="36.7109375" style="173" customWidth="1"/>
    <col min="9" max="9" width="29.140625" style="173" customWidth="1"/>
    <col min="10" max="10" width="16.7109375" style="173" customWidth="1"/>
    <col min="11" max="11" width="9" style="173" customWidth="1"/>
    <col min="12" max="12" width="15.28515625" style="172" customWidth="1"/>
    <col min="13" max="13" width="43.5703125" style="172" customWidth="1"/>
    <col min="14" max="14" width="10.7109375" style="173" customWidth="1"/>
    <col min="15" max="15" width="21.85546875" style="172" customWidth="1"/>
    <col min="16" max="16" width="16.7109375" style="172" hidden="1" customWidth="1"/>
    <col min="17" max="17" width="11" style="173" customWidth="1"/>
    <col min="18" max="18" width="22.85546875" style="175" customWidth="1"/>
    <col min="19" max="16384" width="11.42578125" style="172"/>
  </cols>
  <sheetData>
    <row r="1" spans="2:45" ht="16.5" customHeight="1" thickBot="1" x14ac:dyDescent="0.25">
      <c r="H1" s="172"/>
    </row>
    <row r="2" spans="2:45" ht="24" customHeight="1" x14ac:dyDescent="0.2">
      <c r="B2" s="555"/>
      <c r="C2" s="556"/>
      <c r="D2" s="557"/>
      <c r="E2" s="573" t="s">
        <v>511</v>
      </c>
      <c r="F2" s="573"/>
      <c r="G2" s="573"/>
      <c r="H2" s="573"/>
      <c r="I2" s="573"/>
      <c r="J2" s="573"/>
      <c r="K2" s="573"/>
      <c r="L2" s="573"/>
      <c r="M2" s="573"/>
      <c r="N2" s="573"/>
      <c r="O2" s="576" t="s">
        <v>151</v>
      </c>
      <c r="P2" s="577"/>
      <c r="Q2" s="578"/>
      <c r="R2" s="457" t="s">
        <v>513</v>
      </c>
    </row>
    <row r="3" spans="2:45" ht="24" customHeight="1" x14ac:dyDescent="0.2">
      <c r="B3" s="558"/>
      <c r="C3" s="559"/>
      <c r="D3" s="560"/>
      <c r="E3" s="574"/>
      <c r="F3" s="574"/>
      <c r="G3" s="574"/>
      <c r="H3" s="574"/>
      <c r="I3" s="574"/>
      <c r="J3" s="574"/>
      <c r="K3" s="574"/>
      <c r="L3" s="574"/>
      <c r="M3" s="574"/>
      <c r="N3" s="574"/>
      <c r="O3" s="579" t="s">
        <v>152</v>
      </c>
      <c r="P3" s="580"/>
      <c r="Q3" s="581"/>
      <c r="R3" s="426">
        <v>4</v>
      </c>
    </row>
    <row r="4" spans="2:45" ht="24" customHeight="1" thickBot="1" x14ac:dyDescent="0.25">
      <c r="B4" s="561"/>
      <c r="C4" s="562"/>
      <c r="D4" s="563"/>
      <c r="E4" s="575"/>
      <c r="F4" s="575"/>
      <c r="G4" s="575"/>
      <c r="H4" s="575"/>
      <c r="I4" s="575"/>
      <c r="J4" s="575"/>
      <c r="K4" s="575"/>
      <c r="L4" s="575"/>
      <c r="M4" s="575"/>
      <c r="N4" s="575"/>
      <c r="O4" s="582" t="s">
        <v>153</v>
      </c>
      <c r="P4" s="583"/>
      <c r="Q4" s="584"/>
      <c r="R4" s="427">
        <v>44719</v>
      </c>
    </row>
    <row r="5" spans="2:45" ht="15.75" thickBot="1" x14ac:dyDescent="0.25">
      <c r="H5" s="172"/>
    </row>
    <row r="6" spans="2:45" ht="15.75" customHeight="1" x14ac:dyDescent="0.2">
      <c r="H6" s="172"/>
      <c r="J6" s="564" t="s">
        <v>59</v>
      </c>
      <c r="K6" s="565"/>
      <c r="L6" s="565"/>
      <c r="M6" s="565"/>
      <c r="N6" s="565"/>
      <c r="O6" s="565"/>
      <c r="P6" s="565"/>
      <c r="Q6" s="565"/>
      <c r="R6" s="566"/>
    </row>
    <row r="7" spans="2:45" ht="15.75" customHeight="1" thickBot="1" x14ac:dyDescent="0.25">
      <c r="H7" s="172"/>
      <c r="J7" s="567"/>
      <c r="K7" s="568"/>
      <c r="L7" s="568"/>
      <c r="M7" s="568"/>
      <c r="N7" s="568"/>
      <c r="O7" s="568"/>
      <c r="P7" s="568"/>
      <c r="Q7" s="568"/>
      <c r="R7" s="569"/>
    </row>
    <row r="8" spans="2:45" s="176" customFormat="1" ht="42.75" customHeight="1" thickBot="1" x14ac:dyDescent="0.3">
      <c r="B8" s="118" t="s">
        <v>10</v>
      </c>
      <c r="C8" s="119" t="s">
        <v>49</v>
      </c>
      <c r="D8" s="119" t="s">
        <v>0</v>
      </c>
      <c r="E8" s="119" t="s">
        <v>1</v>
      </c>
      <c r="F8" s="119" t="s">
        <v>2</v>
      </c>
      <c r="G8" s="119" t="s">
        <v>3</v>
      </c>
      <c r="H8" s="120" t="s">
        <v>4</v>
      </c>
      <c r="I8" s="188" t="s">
        <v>173</v>
      </c>
      <c r="J8" s="121" t="s">
        <v>5</v>
      </c>
      <c r="K8" s="570" t="s">
        <v>6</v>
      </c>
      <c r="L8" s="571"/>
      <c r="M8" s="122" t="s">
        <v>83</v>
      </c>
      <c r="N8" s="123" t="s">
        <v>7</v>
      </c>
      <c r="O8" s="123" t="s">
        <v>8</v>
      </c>
      <c r="P8" s="123" t="s">
        <v>57</v>
      </c>
      <c r="Q8" s="123" t="s">
        <v>7</v>
      </c>
      <c r="R8" s="124" t="s">
        <v>9</v>
      </c>
      <c r="AR8" s="572"/>
      <c r="AS8" s="572"/>
    </row>
    <row r="9" spans="2:45" ht="150" customHeight="1" x14ac:dyDescent="0.25">
      <c r="B9" s="125" t="s">
        <v>97</v>
      </c>
      <c r="C9" s="126" t="s">
        <v>23</v>
      </c>
      <c r="D9" s="126" t="s">
        <v>52</v>
      </c>
      <c r="E9" s="127" t="s">
        <v>337</v>
      </c>
      <c r="F9" s="127" t="s">
        <v>338</v>
      </c>
      <c r="G9" s="127" t="s">
        <v>477</v>
      </c>
      <c r="H9" s="126" t="s">
        <v>178</v>
      </c>
      <c r="I9" s="126" t="s">
        <v>11</v>
      </c>
      <c r="J9" s="126">
        <v>501</v>
      </c>
      <c r="K9" s="126" t="str">
        <f t="shared" ref="K9:K13" si="0">IF(L9="Muy Baja","20%",IF(L9="Baja","40%",IF(L9="Media","60%",IF(L9="Alta","80%",IF(L9="Muy Alta","100%","")))))</f>
        <v>80%</v>
      </c>
      <c r="L9" s="126" t="str">
        <f>+IF(J9&lt;=2,"Muy Baja",IF(J9&lt;=24,"Baja",IF(J9&lt;=500,"Media",IF(J9&lt;=5000,"Alta",IF('Matriz de Riesgos'!J9&gt;5000,"Muy Alta","")))))</f>
        <v>Alta</v>
      </c>
      <c r="M9" s="126" t="s">
        <v>130</v>
      </c>
      <c r="N9" s="26">
        <f>VLOOKUP(M9,Tablas!$I$10:$K$24,2,FALSE)</f>
        <v>0.6</v>
      </c>
      <c r="O9" s="128" t="str">
        <f>VLOOKUP(M9,Tablas!$I$10:$K$24,3,FALSE)</f>
        <v>Moderado</v>
      </c>
      <c r="P9" s="128" t="str">
        <f>CONCATENATE(L9,O9)</f>
        <v>AltaModerado</v>
      </c>
      <c r="Q9" s="129">
        <f>+N9*K9</f>
        <v>0.48</v>
      </c>
      <c r="R9" s="130" t="str">
        <f>VLOOKUP(P9,Listas!$L$2:$O$27,4,FALSE)</f>
        <v>Alto</v>
      </c>
      <c r="T9" s="2"/>
    </row>
    <row r="10" spans="2:45" ht="90.75" thickBot="1" x14ac:dyDescent="0.3">
      <c r="B10" s="131" t="s">
        <v>98</v>
      </c>
      <c r="C10" s="132" t="s">
        <v>15</v>
      </c>
      <c r="D10" s="132" t="s">
        <v>51</v>
      </c>
      <c r="E10" s="133" t="s">
        <v>531</v>
      </c>
      <c r="F10" s="133" t="s">
        <v>530</v>
      </c>
      <c r="G10" s="133" t="s">
        <v>533</v>
      </c>
      <c r="H10" s="132" t="s">
        <v>178</v>
      </c>
      <c r="I10" s="132" t="s">
        <v>11</v>
      </c>
      <c r="J10" s="134">
        <v>1</v>
      </c>
      <c r="K10" s="132" t="str">
        <f t="shared" si="0"/>
        <v>20%</v>
      </c>
      <c r="L10" s="132" t="str">
        <f>+IF(J10&lt;=2,"Muy Baja",IF(J10&lt;=24,"Baja",IF(J10&lt;=500,"Media",IF(J10&lt;=5000,"Alta",IF('Matriz de Riesgos'!J10&gt;5000,"Muy Alta","")))))</f>
        <v>Muy Baja</v>
      </c>
      <c r="M10" s="132" t="s">
        <v>130</v>
      </c>
      <c r="N10" s="27">
        <f>VLOOKUP(M10,Tablas!$I$10:$K$24,2,FALSE)</f>
        <v>0.6</v>
      </c>
      <c r="O10" s="134" t="str">
        <f>VLOOKUP(M10,Tablas!$I$10:$K$24,3,FALSE)</f>
        <v>Moderado</v>
      </c>
      <c r="P10" s="135" t="str">
        <f t="shared" ref="P10:P13" si="1">CONCATENATE(L10,O10)</f>
        <v>Muy BajaModerado</v>
      </c>
      <c r="Q10" s="136">
        <f t="shared" ref="Q10:Q13" si="2">+N10*K10</f>
        <v>0.12</v>
      </c>
      <c r="R10" s="137" t="str">
        <f>VLOOKUP(P10,Listas!$L$2:$O$27,4,FALSE)</f>
        <v>Moderado</v>
      </c>
      <c r="T10" s="2"/>
    </row>
    <row r="11" spans="2:45" ht="105.75" thickBot="1" x14ac:dyDescent="0.3">
      <c r="B11" s="125" t="s">
        <v>99</v>
      </c>
      <c r="C11" s="132" t="s">
        <v>15</v>
      </c>
      <c r="D11" s="132" t="s">
        <v>52</v>
      </c>
      <c r="E11" s="133" t="s">
        <v>529</v>
      </c>
      <c r="F11" s="133" t="s">
        <v>528</v>
      </c>
      <c r="G11" s="133" t="s">
        <v>581</v>
      </c>
      <c r="H11" s="132" t="s">
        <v>178</v>
      </c>
      <c r="I11" s="132" t="s">
        <v>11</v>
      </c>
      <c r="J11" s="134">
        <v>1</v>
      </c>
      <c r="K11" s="132" t="str">
        <f t="shared" si="0"/>
        <v>20%</v>
      </c>
      <c r="L11" s="132" t="str">
        <f>+IF(J11&lt;=2,"Muy Baja",IF(J11&lt;=24,"Baja",IF(J11&lt;=500,"Media",IF(J11&lt;=5000,"Alta",IF('Matriz de Riesgos'!J11&gt;5000,"Muy Alta","")))))</f>
        <v>Muy Baja</v>
      </c>
      <c r="M11" s="132" t="s">
        <v>47</v>
      </c>
      <c r="N11" s="27">
        <f>VLOOKUP(M11,Tablas!$I$10:$K$24,2,FALSE)</f>
        <v>0.8</v>
      </c>
      <c r="O11" s="134" t="str">
        <f>VLOOKUP(M11,Tablas!$I$10:$K$24,3,FALSE)</f>
        <v>Mayor</v>
      </c>
      <c r="P11" s="135" t="str">
        <f t="shared" si="1"/>
        <v>Muy BajaMayor</v>
      </c>
      <c r="Q11" s="136">
        <f t="shared" si="2"/>
        <v>0.16000000000000003</v>
      </c>
      <c r="R11" s="137" t="str">
        <f>VLOOKUP(P11,Listas!$L$2:$O$27,4,FALSE)</f>
        <v>Alto</v>
      </c>
      <c r="T11" s="2"/>
    </row>
    <row r="12" spans="2:45" ht="75.75" thickBot="1" x14ac:dyDescent="0.3">
      <c r="B12" s="131" t="s">
        <v>100</v>
      </c>
      <c r="C12" s="132" t="s">
        <v>21</v>
      </c>
      <c r="D12" s="132" t="s">
        <v>142</v>
      </c>
      <c r="E12" s="133" t="s">
        <v>515</v>
      </c>
      <c r="F12" s="133" t="s">
        <v>516</v>
      </c>
      <c r="G12" s="133" t="s">
        <v>517</v>
      </c>
      <c r="H12" s="132" t="s">
        <v>178</v>
      </c>
      <c r="I12" s="132" t="s">
        <v>11</v>
      </c>
      <c r="J12" s="134">
        <v>18</v>
      </c>
      <c r="K12" s="132" t="str">
        <f t="shared" si="0"/>
        <v>40%</v>
      </c>
      <c r="L12" s="132" t="str">
        <f>+IF(J12&lt;=2,"Muy Baja",IF(J12&lt;=24,"Baja",IF(J12&lt;=500,"Media",IF(J12&lt;=5000,"Alta",IF('Matriz de Riesgos'!J12&gt;5000,"Muy Alta","")))))</f>
        <v>Baja</v>
      </c>
      <c r="M12" s="132" t="s">
        <v>129</v>
      </c>
      <c r="N12" s="27">
        <f>VLOOKUP(M12,Tablas!$I$10:$K$24,2,FALSE)</f>
        <v>0.4</v>
      </c>
      <c r="O12" s="134" t="str">
        <f>VLOOKUP(M12,Tablas!$I$10:$K$24,3,FALSE)</f>
        <v>Menor</v>
      </c>
      <c r="P12" s="135" t="str">
        <f t="shared" si="1"/>
        <v>BajaMenor</v>
      </c>
      <c r="Q12" s="136">
        <f t="shared" si="2"/>
        <v>0.16000000000000003</v>
      </c>
      <c r="R12" s="137" t="str">
        <f>VLOOKUP(P12,Listas!$L$2:$O$27,4,FALSE)</f>
        <v>Moderado</v>
      </c>
      <c r="T12" s="2"/>
    </row>
    <row r="13" spans="2:45" ht="83.25" customHeight="1" x14ac:dyDescent="0.25">
      <c r="B13" s="125" t="s">
        <v>101</v>
      </c>
      <c r="C13" s="132" t="s">
        <v>22</v>
      </c>
      <c r="D13" s="132" t="s">
        <v>142</v>
      </c>
      <c r="E13" s="133" t="s">
        <v>339</v>
      </c>
      <c r="F13" s="133" t="s">
        <v>451</v>
      </c>
      <c r="G13" s="133" t="s">
        <v>478</v>
      </c>
      <c r="H13" s="132" t="s">
        <v>181</v>
      </c>
      <c r="I13" s="132" t="s">
        <v>174</v>
      </c>
      <c r="J13" s="134">
        <v>50</v>
      </c>
      <c r="K13" s="132" t="str">
        <f t="shared" si="0"/>
        <v>60%</v>
      </c>
      <c r="L13" s="132" t="str">
        <f>+IF(J13&lt;=2,"Muy Baja",IF(J13&lt;=24,"Baja",IF(J13&lt;=500,"Media",IF(J13&lt;=5000,"Alta",IF('Matriz de Riesgos'!J13&gt;5000,"Muy Alta","")))))</f>
        <v>Media</v>
      </c>
      <c r="M13" s="132" t="s">
        <v>47</v>
      </c>
      <c r="N13" s="27">
        <f>VLOOKUP(M13,Tablas!$I$10:$K$24,2,FALSE)</f>
        <v>0.8</v>
      </c>
      <c r="O13" s="134" t="str">
        <f>VLOOKUP(M13,Tablas!$I$10:$K$24,3,FALSE)</f>
        <v>Mayor</v>
      </c>
      <c r="P13" s="135" t="str">
        <f t="shared" si="1"/>
        <v>MediaMayor</v>
      </c>
      <c r="Q13" s="136">
        <f t="shared" si="2"/>
        <v>0.48</v>
      </c>
      <c r="R13" s="137" t="str">
        <f>VLOOKUP(P13,Listas!$L$2:$O$27,4,FALSE)</f>
        <v>Alto</v>
      </c>
      <c r="T13" s="2"/>
    </row>
    <row r="14" spans="2:45" ht="63.75" customHeight="1" thickBot="1" x14ac:dyDescent="0.3">
      <c r="B14" s="131" t="s">
        <v>102</v>
      </c>
      <c r="C14" s="132" t="s">
        <v>22</v>
      </c>
      <c r="D14" s="132" t="s">
        <v>142</v>
      </c>
      <c r="E14" s="133" t="s">
        <v>453</v>
      </c>
      <c r="F14" s="133" t="s">
        <v>452</v>
      </c>
      <c r="G14" s="133" t="s">
        <v>479</v>
      </c>
      <c r="H14" s="132" t="s">
        <v>181</v>
      </c>
      <c r="I14" s="132" t="s">
        <v>174</v>
      </c>
      <c r="J14" s="134">
        <v>37</v>
      </c>
      <c r="K14" s="132" t="str">
        <f t="shared" ref="K14:K30" si="3">IF(L14="Muy Baja","20%",IF(L14="Baja","40%",IF(L14="Media","60%",IF(L14="Alta","80%",IF(L14="Muy Alta","100%","")))))</f>
        <v>60%</v>
      </c>
      <c r="L14" s="132" t="str">
        <f>+IF(J14&lt;=2,"Muy Baja",IF(J14&lt;=24,"Baja",IF(J14&lt;=500,"Media",IF(J14&lt;=5000,"Alta",IF('Matriz de Riesgos'!J14&gt;5000,"Muy Alta","")))))</f>
        <v>Media</v>
      </c>
      <c r="M14" s="132" t="s">
        <v>131</v>
      </c>
      <c r="N14" s="27">
        <f>VLOOKUP(M14,Tablas!$I$10:$K$24,2,FALSE)</f>
        <v>0.8</v>
      </c>
      <c r="O14" s="134" t="str">
        <f>VLOOKUP(M14,Tablas!$I$10:$K$24,3,FALSE)</f>
        <v>Mayor</v>
      </c>
      <c r="P14" s="134" t="str">
        <f t="shared" ref="P14:P30" si="4">CONCATENATE(L14,O14)</f>
        <v>MediaMayor</v>
      </c>
      <c r="Q14" s="136">
        <f t="shared" ref="Q14:Q30" si="5">+N14*K14</f>
        <v>0.48</v>
      </c>
      <c r="R14" s="352" t="str">
        <f>VLOOKUP(P14,Listas!$L$2:$O$27,4,FALSE)</f>
        <v>Alto</v>
      </c>
      <c r="T14" s="2"/>
    </row>
    <row r="15" spans="2:45" ht="63" customHeight="1" x14ac:dyDescent="0.25">
      <c r="B15" s="125" t="s">
        <v>103</v>
      </c>
      <c r="C15" s="484" t="s">
        <v>169</v>
      </c>
      <c r="D15" s="484" t="s">
        <v>142</v>
      </c>
      <c r="E15" s="483" t="s">
        <v>413</v>
      </c>
      <c r="F15" s="483" t="s">
        <v>565</v>
      </c>
      <c r="G15" s="483" t="s">
        <v>560</v>
      </c>
      <c r="H15" s="132" t="s">
        <v>178</v>
      </c>
      <c r="I15" s="132" t="s">
        <v>11</v>
      </c>
      <c r="J15" s="134">
        <v>365</v>
      </c>
      <c r="K15" s="132" t="str">
        <f t="shared" si="3"/>
        <v>60%</v>
      </c>
      <c r="L15" s="132" t="str">
        <f>+IF(J15&lt;=2,"Muy Baja",IF(J15&lt;=24,"Baja",IF(J15&lt;=500,"Media",IF(J15&lt;=5000,"Alta",IF('Matriz de Riesgos'!J15&gt;5000,"Muy Alta","")))))</f>
        <v>Media</v>
      </c>
      <c r="M15" s="132" t="s">
        <v>47</v>
      </c>
      <c r="N15" s="27">
        <f>VLOOKUP(M15,Tablas!$I$10:$K$24,2,FALSE)</f>
        <v>0.8</v>
      </c>
      <c r="O15" s="134" t="str">
        <f>VLOOKUP(M15,Tablas!$I$10:$K$24,3,FALSE)</f>
        <v>Mayor</v>
      </c>
      <c r="P15" s="134" t="str">
        <f t="shared" si="4"/>
        <v>MediaMayor</v>
      </c>
      <c r="Q15" s="136">
        <f t="shared" si="5"/>
        <v>0.48</v>
      </c>
      <c r="R15" s="352" t="str">
        <f>VLOOKUP(P15,Listas!$L$2:$O$27,4,FALSE)</f>
        <v>Alto</v>
      </c>
      <c r="T15" s="2"/>
    </row>
    <row r="16" spans="2:45" ht="105.75" thickBot="1" x14ac:dyDescent="0.3">
      <c r="B16" s="131" t="s">
        <v>104</v>
      </c>
      <c r="C16" s="132" t="s">
        <v>169</v>
      </c>
      <c r="D16" s="132" t="s">
        <v>142</v>
      </c>
      <c r="E16" s="133" t="s">
        <v>340</v>
      </c>
      <c r="F16" s="133" t="s">
        <v>341</v>
      </c>
      <c r="G16" s="133" t="s">
        <v>480</v>
      </c>
      <c r="H16" s="132" t="s">
        <v>178</v>
      </c>
      <c r="I16" s="132" t="s">
        <v>11</v>
      </c>
      <c r="J16" s="134">
        <v>6</v>
      </c>
      <c r="K16" s="132" t="str">
        <f t="shared" si="3"/>
        <v>40%</v>
      </c>
      <c r="L16" s="132" t="str">
        <f>+IF(J16&lt;=2,"Muy Baja",IF(J16&lt;=24,"Baja",IF(J16&lt;=500,"Media",IF(J16&lt;=5000,"Alta",IF('Matriz de Riesgos'!J16&gt;5000,"Muy Alta","")))))</f>
        <v>Baja</v>
      </c>
      <c r="M16" s="132" t="s">
        <v>131</v>
      </c>
      <c r="N16" s="27">
        <f>VLOOKUP(M16,Tablas!$I$10:$K$24,2,FALSE)</f>
        <v>0.8</v>
      </c>
      <c r="O16" s="134" t="str">
        <f>VLOOKUP(M16,Tablas!$I$10:$K$24,3,FALSE)</f>
        <v>Mayor</v>
      </c>
      <c r="P16" s="134" t="str">
        <f t="shared" si="4"/>
        <v>BajaMayor</v>
      </c>
      <c r="Q16" s="136">
        <f t="shared" si="5"/>
        <v>0.32000000000000006</v>
      </c>
      <c r="R16" s="352" t="str">
        <f>VLOOKUP(P16,Listas!$L$2:$O$27,4,FALSE)</f>
        <v>Alto</v>
      </c>
      <c r="T16" s="2"/>
    </row>
    <row r="17" spans="2:20" ht="105.75" thickBot="1" x14ac:dyDescent="0.3">
      <c r="B17" s="125" t="s">
        <v>105</v>
      </c>
      <c r="C17" s="132" t="s">
        <v>18</v>
      </c>
      <c r="D17" s="132" t="s">
        <v>142</v>
      </c>
      <c r="E17" s="133" t="s">
        <v>344</v>
      </c>
      <c r="F17" s="133" t="s">
        <v>345</v>
      </c>
      <c r="G17" s="133" t="s">
        <v>481</v>
      </c>
      <c r="H17" s="132" t="s">
        <v>184</v>
      </c>
      <c r="I17" s="132" t="s">
        <v>11</v>
      </c>
      <c r="J17" s="134">
        <v>2</v>
      </c>
      <c r="K17" s="132" t="str">
        <f t="shared" si="3"/>
        <v>20%</v>
      </c>
      <c r="L17" s="132" t="str">
        <f>+IF(J17&lt;=2,"Muy Baja",IF(J17&lt;=24,"Baja",IF(J17&lt;=500,"Media",IF(J17&lt;=5000,"Alta",IF('Matriz de Riesgos'!J17&gt;5000,"Muy Alta","")))))</f>
        <v>Muy Baja</v>
      </c>
      <c r="M17" s="132" t="s">
        <v>131</v>
      </c>
      <c r="N17" s="27">
        <f>VLOOKUP(M17,Tablas!$I$10:$K$24,2,FALSE)</f>
        <v>0.8</v>
      </c>
      <c r="O17" s="134" t="str">
        <f>VLOOKUP(M17,Tablas!$I$10:$K$24,3,FALSE)</f>
        <v>Mayor</v>
      </c>
      <c r="P17" s="134" t="str">
        <f t="shared" si="4"/>
        <v>Muy BajaMayor</v>
      </c>
      <c r="Q17" s="136">
        <f t="shared" si="5"/>
        <v>0.16000000000000003</v>
      </c>
      <c r="R17" s="352" t="str">
        <f>VLOOKUP(P17,Listas!$L$2:$O$27,4,FALSE)</f>
        <v>Alto</v>
      </c>
      <c r="T17" s="2"/>
    </row>
    <row r="18" spans="2:20" ht="45.75" thickBot="1" x14ac:dyDescent="0.3">
      <c r="B18" s="131" t="s">
        <v>106</v>
      </c>
      <c r="C18" s="132" t="s">
        <v>16</v>
      </c>
      <c r="D18" s="132" t="s">
        <v>52</v>
      </c>
      <c r="E18" s="133" t="s">
        <v>348</v>
      </c>
      <c r="F18" s="133" t="s">
        <v>524</v>
      </c>
      <c r="G18" s="133" t="s">
        <v>523</v>
      </c>
      <c r="H18" s="132" t="s">
        <v>184</v>
      </c>
      <c r="I18" s="132" t="s">
        <v>11</v>
      </c>
      <c r="J18" s="134">
        <v>15</v>
      </c>
      <c r="K18" s="132" t="str">
        <f t="shared" si="3"/>
        <v>40%</v>
      </c>
      <c r="L18" s="132" t="str">
        <f>+IF(J18&lt;=2,"Muy Baja",IF(J18&lt;=24,"Baja",IF(J18&lt;=500,"Media",IF(J18&lt;=5000,"Alta",IF('Matriz de Riesgos'!J18&gt;5000,"Muy Alta","")))))</f>
        <v>Baja</v>
      </c>
      <c r="M18" s="132" t="s">
        <v>130</v>
      </c>
      <c r="N18" s="27">
        <f>VLOOKUP(M18,Tablas!$I$10:$K$24,2,FALSE)</f>
        <v>0.6</v>
      </c>
      <c r="O18" s="134" t="str">
        <f>VLOOKUP(M18,Tablas!$I$10:$K$24,3,FALSE)</f>
        <v>Moderado</v>
      </c>
      <c r="P18" s="134" t="str">
        <f t="shared" si="4"/>
        <v>BajaModerado</v>
      </c>
      <c r="Q18" s="136">
        <f t="shared" si="5"/>
        <v>0.24</v>
      </c>
      <c r="R18" s="352" t="str">
        <f>VLOOKUP(P18,Listas!$L$2:$O$27,4,FALSE)</f>
        <v>Moderado</v>
      </c>
      <c r="T18" s="2"/>
    </row>
    <row r="19" spans="2:20" ht="60.75" thickBot="1" x14ac:dyDescent="0.3">
      <c r="B19" s="125" t="s">
        <v>107</v>
      </c>
      <c r="C19" s="484" t="s">
        <v>16</v>
      </c>
      <c r="D19" s="484" t="s">
        <v>52</v>
      </c>
      <c r="E19" s="483" t="s">
        <v>567</v>
      </c>
      <c r="F19" s="483" t="s">
        <v>566</v>
      </c>
      <c r="G19" s="483" t="s">
        <v>561</v>
      </c>
      <c r="H19" s="132" t="s">
        <v>178</v>
      </c>
      <c r="I19" s="132" t="s">
        <v>11</v>
      </c>
      <c r="J19" s="134">
        <v>365</v>
      </c>
      <c r="K19" s="132" t="str">
        <f t="shared" si="3"/>
        <v>60%</v>
      </c>
      <c r="L19" s="132" t="str">
        <f>+IF(J19&lt;=2,"Muy Baja",IF(J19&lt;=24,"Baja",IF(J19&lt;=500,"Media",IF(J19&lt;=5000,"Alta",IF('Matriz de Riesgos'!J19&gt;5000,"Muy Alta","")))))</f>
        <v>Media</v>
      </c>
      <c r="M19" s="132" t="s">
        <v>129</v>
      </c>
      <c r="N19" s="27">
        <f>VLOOKUP(M19,Tablas!$I$10:$K$24,2,FALSE)</f>
        <v>0.4</v>
      </c>
      <c r="O19" s="134" t="str">
        <f>VLOOKUP(M19,Tablas!$I$10:$K$24,3,FALSE)</f>
        <v>Menor</v>
      </c>
      <c r="P19" s="134" t="str">
        <f t="shared" si="4"/>
        <v>MediaMenor</v>
      </c>
      <c r="Q19" s="136">
        <f t="shared" si="5"/>
        <v>0.24</v>
      </c>
      <c r="R19" s="352" t="str">
        <f>VLOOKUP(P19,Listas!$L$2:$O$27,4,FALSE)</f>
        <v>Moderado</v>
      </c>
      <c r="T19" s="2"/>
    </row>
    <row r="20" spans="2:20" ht="60.75" thickBot="1" x14ac:dyDescent="0.3">
      <c r="B20" s="131" t="s">
        <v>264</v>
      </c>
      <c r="C20" s="132" t="s">
        <v>13</v>
      </c>
      <c r="D20" s="132" t="s">
        <v>52</v>
      </c>
      <c r="E20" s="133" t="s">
        <v>579</v>
      </c>
      <c r="F20" s="133" t="s">
        <v>578</v>
      </c>
      <c r="G20" s="133" t="s">
        <v>577</v>
      </c>
      <c r="H20" s="132" t="s">
        <v>178</v>
      </c>
      <c r="I20" s="132" t="s">
        <v>11</v>
      </c>
      <c r="J20" s="134">
        <v>15</v>
      </c>
      <c r="K20" s="132" t="str">
        <f t="shared" si="3"/>
        <v>40%</v>
      </c>
      <c r="L20" s="132" t="str">
        <f>+IF(J20&lt;=2,"Muy Baja",IF(J20&lt;=24,"Baja",IF(J20&lt;=500,"Media",IF(J20&lt;=5000,"Alta",IF('Matriz de Riesgos'!J20&gt;5000,"Muy Alta","")))))</f>
        <v>Baja</v>
      </c>
      <c r="M20" s="132" t="s">
        <v>44</v>
      </c>
      <c r="N20" s="27">
        <f>VLOOKUP(M20,Tablas!$I$10:$K$24,2,FALSE)</f>
        <v>0.2</v>
      </c>
      <c r="O20" s="134" t="str">
        <f>VLOOKUP(M20,Tablas!$I$10:$K$24,3,FALSE)</f>
        <v>Leve</v>
      </c>
      <c r="P20" s="134" t="str">
        <f t="shared" si="4"/>
        <v>BajaLeve</v>
      </c>
      <c r="Q20" s="136">
        <f t="shared" si="5"/>
        <v>8.0000000000000016E-2</v>
      </c>
      <c r="R20" s="352" t="str">
        <f>VLOOKUP(P20,Listas!$L$2:$O$27,4,FALSE)</f>
        <v>Bajo</v>
      </c>
      <c r="T20" s="2"/>
    </row>
    <row r="21" spans="2:20" ht="80.25" customHeight="1" x14ac:dyDescent="0.25">
      <c r="B21" s="125" t="s">
        <v>265</v>
      </c>
      <c r="C21" s="132" t="s">
        <v>14</v>
      </c>
      <c r="D21" s="132" t="s">
        <v>52</v>
      </c>
      <c r="E21" s="133" t="s">
        <v>546</v>
      </c>
      <c r="F21" s="133" t="s">
        <v>466</v>
      </c>
      <c r="G21" s="133" t="s">
        <v>482</v>
      </c>
      <c r="H21" s="132" t="s">
        <v>178</v>
      </c>
      <c r="I21" s="132" t="s">
        <v>11</v>
      </c>
      <c r="J21" s="134">
        <v>24</v>
      </c>
      <c r="K21" s="132" t="str">
        <f t="shared" si="3"/>
        <v>40%</v>
      </c>
      <c r="L21" s="132" t="str">
        <f>+IF(J21&lt;=2,"Muy Baja",IF(J21&lt;=24,"Baja",IF(J21&lt;=500,"Media",IF(J21&lt;=5000,"Alta",IF('Matriz de Riesgos'!J21&gt;5000,"Muy Alta","")))))</f>
        <v>Baja</v>
      </c>
      <c r="M21" s="132" t="s">
        <v>44</v>
      </c>
      <c r="N21" s="27">
        <f>VLOOKUP(M21,Tablas!$I$10:$K$24,2,FALSE)</f>
        <v>0.2</v>
      </c>
      <c r="O21" s="134" t="str">
        <f>VLOOKUP(M21,Tablas!$I$10:$K$24,3,FALSE)</f>
        <v>Leve</v>
      </c>
      <c r="P21" s="134" t="str">
        <f t="shared" si="4"/>
        <v>BajaLeve</v>
      </c>
      <c r="Q21" s="136">
        <f t="shared" si="5"/>
        <v>8.0000000000000016E-2</v>
      </c>
      <c r="R21" s="352" t="str">
        <f>VLOOKUP(P21,Listas!$L$2:$O$27,4,FALSE)</f>
        <v>Bajo</v>
      </c>
      <c r="T21" s="2"/>
    </row>
    <row r="22" spans="2:20" ht="92.25" customHeight="1" thickBot="1" x14ac:dyDescent="0.3">
      <c r="B22" s="131" t="s">
        <v>266</v>
      </c>
      <c r="C22" s="132" t="s">
        <v>24</v>
      </c>
      <c r="D22" s="132" t="s">
        <v>52</v>
      </c>
      <c r="E22" s="133" t="s">
        <v>457</v>
      </c>
      <c r="F22" s="133" t="s">
        <v>456</v>
      </c>
      <c r="G22" s="133" t="s">
        <v>483</v>
      </c>
      <c r="H22" s="132" t="s">
        <v>178</v>
      </c>
      <c r="I22" s="132" t="s">
        <v>11</v>
      </c>
      <c r="J22" s="134">
        <v>246</v>
      </c>
      <c r="K22" s="132" t="str">
        <f t="shared" si="3"/>
        <v>60%</v>
      </c>
      <c r="L22" s="132" t="str">
        <f>+IF(J22&lt;=2,"Muy Baja",IF(J22&lt;=24,"Baja",IF(J22&lt;=500,"Media",IF(J22&lt;=5000,"Alta",IF('Matriz de Riesgos'!J22&gt;5000,"Muy Alta","")))))</f>
        <v>Media</v>
      </c>
      <c r="M22" s="132" t="s">
        <v>46</v>
      </c>
      <c r="N22" s="27">
        <f>VLOOKUP(M22,Tablas!$I$10:$K$24,2,FALSE)</f>
        <v>0.6</v>
      </c>
      <c r="O22" s="134" t="str">
        <f>VLOOKUP(M22,Tablas!$I$10:$K$24,3,FALSE)</f>
        <v>Moderado</v>
      </c>
      <c r="P22" s="134" t="str">
        <f t="shared" si="4"/>
        <v>MediaModerado</v>
      </c>
      <c r="Q22" s="136">
        <f t="shared" si="5"/>
        <v>0.36</v>
      </c>
      <c r="R22" s="352" t="str">
        <f>VLOOKUP(P22,Listas!$L$2:$O$27,4,FALSE)</f>
        <v>Moderado</v>
      </c>
      <c r="T22" s="2"/>
    </row>
    <row r="23" spans="2:20" ht="51.75" customHeight="1" x14ac:dyDescent="0.25">
      <c r="B23" s="125" t="s">
        <v>267</v>
      </c>
      <c r="C23" s="132" t="s">
        <v>25</v>
      </c>
      <c r="D23" s="132" t="s">
        <v>52</v>
      </c>
      <c r="E23" s="133" t="s">
        <v>349</v>
      </c>
      <c r="F23" s="133" t="s">
        <v>350</v>
      </c>
      <c r="G23" s="133" t="s">
        <v>484</v>
      </c>
      <c r="H23" s="132" t="s">
        <v>178</v>
      </c>
      <c r="I23" s="132" t="s">
        <v>11</v>
      </c>
      <c r="J23" s="134">
        <v>60</v>
      </c>
      <c r="K23" s="132" t="str">
        <f t="shared" si="3"/>
        <v>60%</v>
      </c>
      <c r="L23" s="132" t="str">
        <f>+IF(J23&lt;=2,"Muy Baja",IF(J23&lt;=24,"Baja",IF(J23&lt;=500,"Media",IF(J23&lt;=5000,"Alta",IF('Matriz de Riesgos'!J23&gt;5000,"Muy Alta","")))))</f>
        <v>Media</v>
      </c>
      <c r="M23" s="132" t="s">
        <v>132</v>
      </c>
      <c r="N23" s="27">
        <f>VLOOKUP(M23,Tablas!$I$10:$K$24,2,FALSE)</f>
        <v>1</v>
      </c>
      <c r="O23" s="134" t="str">
        <f>VLOOKUP(M23,Tablas!$I$10:$K$24,3,FALSE)</f>
        <v>Catastrofico</v>
      </c>
      <c r="P23" s="134" t="str">
        <f t="shared" si="4"/>
        <v>MediaCatastrofico</v>
      </c>
      <c r="Q23" s="136">
        <f t="shared" si="5"/>
        <v>0.6</v>
      </c>
      <c r="R23" s="352" t="str">
        <f>VLOOKUP(P23,Listas!$L$2:$O$27,4,FALSE)</f>
        <v>Extremo</v>
      </c>
      <c r="T23" s="2"/>
    </row>
    <row r="24" spans="2:20" ht="60" x14ac:dyDescent="0.25">
      <c r="B24" s="131" t="s">
        <v>328</v>
      </c>
      <c r="C24" s="132" t="s">
        <v>25</v>
      </c>
      <c r="D24" s="132" t="s">
        <v>52</v>
      </c>
      <c r="E24" s="133" t="s">
        <v>351</v>
      </c>
      <c r="F24" s="133" t="s">
        <v>406</v>
      </c>
      <c r="G24" s="133" t="s">
        <v>485</v>
      </c>
      <c r="H24" s="132" t="s">
        <v>178</v>
      </c>
      <c r="I24" s="132" t="s">
        <v>11</v>
      </c>
      <c r="J24" s="134">
        <v>24</v>
      </c>
      <c r="K24" s="132" t="str">
        <f t="shared" si="3"/>
        <v>40%</v>
      </c>
      <c r="L24" s="132" t="str">
        <f>+IF(J24&lt;=2,"Muy Baja",IF(J24&lt;=24,"Baja",IF(J24&lt;=500,"Media",IF(J24&lt;=5000,"Alta",IF('Matriz de Riesgos'!J24&gt;5000,"Muy Alta","")))))</f>
        <v>Baja</v>
      </c>
      <c r="M24" s="132" t="s">
        <v>129</v>
      </c>
      <c r="N24" s="27">
        <f>VLOOKUP(M24,Tablas!$I$10:$K$24,2,FALSE)</f>
        <v>0.4</v>
      </c>
      <c r="O24" s="134" t="str">
        <f>VLOOKUP(M24,Tablas!$I$10:$K$24,3,FALSE)</f>
        <v>Menor</v>
      </c>
      <c r="P24" s="134" t="str">
        <f t="shared" si="4"/>
        <v>BajaMenor</v>
      </c>
      <c r="Q24" s="136">
        <f t="shared" si="5"/>
        <v>0.16000000000000003</v>
      </c>
      <c r="R24" s="352" t="str">
        <f>VLOOKUP(P24,Listas!$L$2:$O$27,4,FALSE)</f>
        <v>Moderado</v>
      </c>
      <c r="T24" s="2"/>
    </row>
    <row r="25" spans="2:20" ht="88.5" customHeight="1" x14ac:dyDescent="0.25">
      <c r="B25" s="125" t="s">
        <v>329</v>
      </c>
      <c r="C25" s="132" t="s">
        <v>25</v>
      </c>
      <c r="D25" s="132" t="s">
        <v>52</v>
      </c>
      <c r="E25" s="133" t="s">
        <v>409</v>
      </c>
      <c r="F25" s="133" t="s">
        <v>410</v>
      </c>
      <c r="G25" s="133" t="s">
        <v>486</v>
      </c>
      <c r="H25" s="132" t="s">
        <v>178</v>
      </c>
      <c r="I25" s="132" t="s">
        <v>11</v>
      </c>
      <c r="J25" s="134">
        <v>40</v>
      </c>
      <c r="K25" s="132" t="str">
        <f t="shared" si="3"/>
        <v>60%</v>
      </c>
      <c r="L25" s="132" t="str">
        <f>+IF(J25&lt;=2,"Muy Baja",IF(J25&lt;=24,"Baja",IF(J25&lt;=500,"Media",IF(J25&lt;=5000,"Alta",IF('Matriz de Riesgos'!J25&gt;5000,"Muy Alta","")))))</f>
        <v>Media</v>
      </c>
      <c r="M25" s="132" t="s">
        <v>130</v>
      </c>
      <c r="N25" s="27">
        <f>VLOOKUP(M25,Tablas!$I$10:$K$24,2,FALSE)</f>
        <v>0.6</v>
      </c>
      <c r="O25" s="134" t="str">
        <f>VLOOKUP(M25,Tablas!$I$10:$K$24,3,FALSE)</f>
        <v>Moderado</v>
      </c>
      <c r="P25" s="134" t="str">
        <f t="shared" si="4"/>
        <v>MediaModerado</v>
      </c>
      <c r="Q25" s="136">
        <f t="shared" si="5"/>
        <v>0.36</v>
      </c>
      <c r="R25" s="352" t="str">
        <f>VLOOKUP(P25,Listas!$L$2:$O$27,4,FALSE)</f>
        <v>Moderado</v>
      </c>
      <c r="T25" s="2"/>
    </row>
    <row r="26" spans="2:20" ht="45" x14ac:dyDescent="0.25">
      <c r="B26" s="131" t="s">
        <v>330</v>
      </c>
      <c r="C26" s="132" t="s">
        <v>19</v>
      </c>
      <c r="D26" s="132" t="s">
        <v>52</v>
      </c>
      <c r="E26" s="133" t="s">
        <v>455</v>
      </c>
      <c r="F26" s="133" t="s">
        <v>454</v>
      </c>
      <c r="G26" s="133" t="s">
        <v>487</v>
      </c>
      <c r="H26" s="132" t="s">
        <v>184</v>
      </c>
      <c r="I26" s="132" t="s">
        <v>11</v>
      </c>
      <c r="J26" s="134">
        <v>3</v>
      </c>
      <c r="K26" s="132" t="str">
        <f t="shared" si="3"/>
        <v>40%</v>
      </c>
      <c r="L26" s="132" t="str">
        <f>+IF(J26&lt;=2,"Muy Baja",IF(J26&lt;=24,"Baja",IF(J26&lt;=500,"Media",IF(J26&lt;=5000,"Alta",IF('Matriz de Riesgos'!J26&gt;5000,"Muy Alta","")))))</f>
        <v>Baja</v>
      </c>
      <c r="M26" s="132" t="s">
        <v>47</v>
      </c>
      <c r="N26" s="27">
        <f>VLOOKUP(M26,Tablas!$I$10:$K$24,2,FALSE)</f>
        <v>0.8</v>
      </c>
      <c r="O26" s="134" t="str">
        <f>VLOOKUP(M26,Tablas!$I$10:$K$24,3,FALSE)</f>
        <v>Mayor</v>
      </c>
      <c r="P26" s="134" t="str">
        <f t="shared" si="4"/>
        <v>BajaMayor</v>
      </c>
      <c r="Q26" s="136">
        <f t="shared" si="5"/>
        <v>0.32000000000000006</v>
      </c>
      <c r="R26" s="352" t="str">
        <f>VLOOKUP(P26,Listas!$L$2:$O$27,4,FALSE)</f>
        <v>Alto</v>
      </c>
      <c r="T26" s="2"/>
    </row>
    <row r="27" spans="2:20" ht="75" customHeight="1" x14ac:dyDescent="0.25">
      <c r="B27" s="125" t="s">
        <v>331</v>
      </c>
      <c r="C27" s="132" t="s">
        <v>19</v>
      </c>
      <c r="D27" s="132" t="s">
        <v>52</v>
      </c>
      <c r="E27" s="133" t="s">
        <v>472</v>
      </c>
      <c r="F27" s="133" t="s">
        <v>352</v>
      </c>
      <c r="G27" s="133" t="s">
        <v>488</v>
      </c>
      <c r="H27" s="132" t="s">
        <v>178</v>
      </c>
      <c r="I27" s="132" t="s">
        <v>11</v>
      </c>
      <c r="J27" s="134">
        <v>3</v>
      </c>
      <c r="K27" s="132" t="str">
        <f t="shared" si="3"/>
        <v>40%</v>
      </c>
      <c r="L27" s="132" t="str">
        <f>+IF(J27&lt;=2,"Muy Baja",IF(J27&lt;=24,"Baja",IF(J27&lt;=500,"Media",IF(J27&lt;=5000,"Alta",IF('Matriz de Riesgos'!J27&gt;5000,"Muy Alta","")))))</f>
        <v>Baja</v>
      </c>
      <c r="M27" s="132" t="s">
        <v>47</v>
      </c>
      <c r="N27" s="27">
        <f>VLOOKUP(M27,Tablas!$I$10:$K$24,2,FALSE)</f>
        <v>0.8</v>
      </c>
      <c r="O27" s="134" t="str">
        <f>VLOOKUP(M27,Tablas!$I$10:$K$24,3,FALSE)</f>
        <v>Mayor</v>
      </c>
      <c r="P27" s="134" t="str">
        <f t="shared" si="4"/>
        <v>BajaMayor</v>
      </c>
      <c r="Q27" s="136">
        <f t="shared" si="5"/>
        <v>0.32000000000000006</v>
      </c>
      <c r="R27" s="352" t="str">
        <f>VLOOKUP(P27,Listas!$L$2:$O$27,4,FALSE)</f>
        <v>Alto</v>
      </c>
      <c r="T27" s="2"/>
    </row>
    <row r="28" spans="2:20" ht="105" x14ac:dyDescent="0.25">
      <c r="B28" s="131" t="s">
        <v>332</v>
      </c>
      <c r="C28" s="132" t="s">
        <v>12</v>
      </c>
      <c r="D28" s="132" t="s">
        <v>52</v>
      </c>
      <c r="E28" s="133" t="s">
        <v>468</v>
      </c>
      <c r="F28" s="133" t="s">
        <v>467</v>
      </c>
      <c r="G28" s="133" t="s">
        <v>489</v>
      </c>
      <c r="H28" s="132" t="s">
        <v>178</v>
      </c>
      <c r="I28" s="132" t="s">
        <v>11</v>
      </c>
      <c r="J28" s="134">
        <v>1</v>
      </c>
      <c r="K28" s="132" t="str">
        <f t="shared" si="3"/>
        <v>20%</v>
      </c>
      <c r="L28" s="132" t="str">
        <f>+IF(J28&lt;=2,"Muy Baja",IF(J28&lt;=24,"Baja",IF(J28&lt;=500,"Media",IF(J28&lt;=5000,"Alta",IF('Matriz de Riesgos'!J28&gt;5000,"Muy Alta","")))))</f>
        <v>Muy Baja</v>
      </c>
      <c r="M28" s="132" t="s">
        <v>46</v>
      </c>
      <c r="N28" s="27">
        <f>VLOOKUP(M28,Tablas!$I$10:$K$24,2,FALSE)</f>
        <v>0.6</v>
      </c>
      <c r="O28" s="134" t="str">
        <f>VLOOKUP(M28,Tablas!$I$10:$K$24,3,FALSE)</f>
        <v>Moderado</v>
      </c>
      <c r="P28" s="134" t="str">
        <f t="shared" si="4"/>
        <v>Muy BajaModerado</v>
      </c>
      <c r="Q28" s="136">
        <f t="shared" si="5"/>
        <v>0.12</v>
      </c>
      <c r="R28" s="352" t="str">
        <f>VLOOKUP(P28,Listas!$L$2:$O$27,4,FALSE)</f>
        <v>Moderado</v>
      </c>
      <c r="T28" s="2"/>
    </row>
    <row r="29" spans="2:20" ht="71.25" customHeight="1" x14ac:dyDescent="0.25">
      <c r="B29" s="125" t="s">
        <v>333</v>
      </c>
      <c r="C29" s="132" t="s">
        <v>20</v>
      </c>
      <c r="D29" s="132" t="s">
        <v>52</v>
      </c>
      <c r="E29" s="133" t="s">
        <v>540</v>
      </c>
      <c r="F29" s="133" t="s">
        <v>539</v>
      </c>
      <c r="G29" s="133" t="s">
        <v>537</v>
      </c>
      <c r="H29" s="132" t="s">
        <v>178</v>
      </c>
      <c r="I29" s="132" t="s">
        <v>11</v>
      </c>
      <c r="J29" s="134">
        <v>3</v>
      </c>
      <c r="K29" s="132" t="str">
        <f t="shared" si="3"/>
        <v>40%</v>
      </c>
      <c r="L29" s="132" t="str">
        <f>+IF(J29&lt;=2,"Muy Baja",IF(J29&lt;=24,"Baja",IF(J29&lt;=500,"Media",IF(J29&lt;=5000,"Alta",IF('Matriz de Riesgos'!J29&gt;5000,"Muy Alta","")))))</f>
        <v>Baja</v>
      </c>
      <c r="M29" s="132" t="s">
        <v>128</v>
      </c>
      <c r="N29" s="27">
        <f>VLOOKUP(M29,Tablas!$I$10:$K$24,2,FALSE)</f>
        <v>0.2</v>
      </c>
      <c r="O29" s="134" t="str">
        <f>VLOOKUP(M29,Tablas!$I$10:$K$24,3,FALSE)</f>
        <v>Leve</v>
      </c>
      <c r="P29" s="134" t="str">
        <f t="shared" si="4"/>
        <v>BajaLeve</v>
      </c>
      <c r="Q29" s="136">
        <f t="shared" si="5"/>
        <v>8.0000000000000016E-2</v>
      </c>
      <c r="R29" s="352" t="str">
        <f>VLOOKUP(P29,Listas!$L$2:$O$27,4,FALSE)</f>
        <v>Bajo</v>
      </c>
      <c r="T29" s="2"/>
    </row>
    <row r="30" spans="2:20" ht="60" x14ac:dyDescent="0.25">
      <c r="B30" s="131" t="s">
        <v>334</v>
      </c>
      <c r="C30" s="132" t="s">
        <v>20</v>
      </c>
      <c r="D30" s="132" t="s">
        <v>142</v>
      </c>
      <c r="E30" s="133" t="s">
        <v>353</v>
      </c>
      <c r="F30" s="133" t="s">
        <v>435</v>
      </c>
      <c r="G30" s="133" t="s">
        <v>538</v>
      </c>
      <c r="H30" s="132" t="s">
        <v>178</v>
      </c>
      <c r="I30" s="132" t="s">
        <v>11</v>
      </c>
      <c r="J30" s="134">
        <v>1</v>
      </c>
      <c r="K30" s="132" t="str">
        <f t="shared" si="3"/>
        <v>20%</v>
      </c>
      <c r="L30" s="132" t="str">
        <f>+IF(J30&lt;=2,"Muy Baja",IF(J30&lt;=24,"Baja",IF(J30&lt;=500,"Media",IF(J30&lt;=5000,"Alta",IF('Matriz de Riesgos'!J30&gt;5000,"Muy Alta","")))))</f>
        <v>Muy Baja</v>
      </c>
      <c r="M30" s="132" t="s">
        <v>131</v>
      </c>
      <c r="N30" s="27">
        <f>VLOOKUP(M30,Tablas!$I$10:$K$24,2,FALSE)</f>
        <v>0.8</v>
      </c>
      <c r="O30" s="134" t="str">
        <f>VLOOKUP(M30,Tablas!$I$10:$K$24,3,FALSE)</f>
        <v>Mayor</v>
      </c>
      <c r="P30" s="134" t="str">
        <f t="shared" si="4"/>
        <v>Muy BajaMayor</v>
      </c>
      <c r="Q30" s="136">
        <f t="shared" si="5"/>
        <v>0.16000000000000003</v>
      </c>
      <c r="R30" s="352" t="str">
        <f>VLOOKUP(P30,Listas!$L$2:$O$27,4,FALSE)</f>
        <v>Alto</v>
      </c>
      <c r="T30" s="2"/>
    </row>
    <row r="31" spans="2:20" ht="60" x14ac:dyDescent="0.25">
      <c r="B31" s="125" t="s">
        <v>335</v>
      </c>
      <c r="C31" s="132" t="s">
        <v>17</v>
      </c>
      <c r="D31" s="132" t="s">
        <v>142</v>
      </c>
      <c r="E31" s="133" t="s">
        <v>551</v>
      </c>
      <c r="F31" s="133" t="s">
        <v>550</v>
      </c>
      <c r="G31" s="133" t="s">
        <v>549</v>
      </c>
      <c r="H31" s="132" t="s">
        <v>178</v>
      </c>
      <c r="I31" s="132" t="s">
        <v>11</v>
      </c>
      <c r="J31" s="134">
        <v>1</v>
      </c>
      <c r="K31" s="132" t="str">
        <f t="shared" ref="K31:K32" si="6">IF(L31="Muy Baja","20%",IF(L31="Baja","40%",IF(L31="Media","60%",IF(L31="Alta","80%",IF(L31="Muy Alta","100%","")))))</f>
        <v>20%</v>
      </c>
      <c r="L31" s="132" t="str">
        <f>+IF(J31&lt;=2,"Muy Baja",IF(J31&lt;=24,"Baja",IF(J31&lt;=500,"Media",IF(J31&lt;=5000,"Alta",IF('Matriz de Riesgos'!J31&gt;5000,"Muy Alta","")))))</f>
        <v>Muy Baja</v>
      </c>
      <c r="M31" s="132" t="s">
        <v>131</v>
      </c>
      <c r="N31" s="27">
        <f>VLOOKUP(M31,Tablas!$I$10:$K$24,2,FALSE)</f>
        <v>0.8</v>
      </c>
      <c r="O31" s="134" t="str">
        <f>VLOOKUP(M31,Tablas!$I$10:$K$24,3,FALSE)</f>
        <v>Mayor</v>
      </c>
      <c r="P31" s="134" t="str">
        <f t="shared" ref="P31:P32" si="7">CONCATENATE(L31,O31)</f>
        <v>Muy BajaMayor</v>
      </c>
      <c r="Q31" s="136">
        <f t="shared" ref="Q31:Q32" si="8">+N31*K31</f>
        <v>0.16000000000000003</v>
      </c>
      <c r="R31" s="352" t="str">
        <f>VLOOKUP(P31,Listas!$L$2:$O$27,4,FALSE)</f>
        <v>Alto</v>
      </c>
      <c r="T31" s="2"/>
    </row>
    <row r="32" spans="2:20" ht="60" x14ac:dyDescent="0.2">
      <c r="B32" s="131" t="s">
        <v>336</v>
      </c>
      <c r="C32" s="484" t="s">
        <v>24</v>
      </c>
      <c r="D32" s="484" t="s">
        <v>142</v>
      </c>
      <c r="E32" s="483" t="s">
        <v>571</v>
      </c>
      <c r="F32" s="483" t="s">
        <v>570</v>
      </c>
      <c r="G32" s="483" t="s">
        <v>562</v>
      </c>
      <c r="H32" s="132" t="s">
        <v>178</v>
      </c>
      <c r="I32" s="132" t="s">
        <v>11</v>
      </c>
      <c r="J32" s="134">
        <v>1</v>
      </c>
      <c r="K32" s="132" t="str">
        <f t="shared" si="6"/>
        <v>20%</v>
      </c>
      <c r="L32" s="132" t="str">
        <f>+IF(J32&lt;=2,"Muy Baja",IF(J32&lt;=24,"Baja",IF(J32&lt;=500,"Media",IF(J32&lt;=5000,"Alta",IF('Matriz de Riesgos'!J32&gt;5000,"Muy Alta","")))))</f>
        <v>Muy Baja</v>
      </c>
      <c r="M32" s="132" t="s">
        <v>129</v>
      </c>
      <c r="N32" s="27">
        <f>VLOOKUP(M32,Tablas!$I$10:$K$24,2,FALSE)</f>
        <v>0.4</v>
      </c>
      <c r="O32" s="134" t="str">
        <f>VLOOKUP(M32,Tablas!$I$10:$K$24,3,FALSE)</f>
        <v>Menor</v>
      </c>
      <c r="P32" s="134" t="str">
        <f t="shared" si="7"/>
        <v>Muy BajaMenor</v>
      </c>
      <c r="Q32" s="136">
        <f t="shared" si="8"/>
        <v>8.0000000000000016E-2</v>
      </c>
      <c r="R32" s="352" t="str">
        <f>VLOOKUP(P32,Listas!$L$2:$O$27,4,FALSE)</f>
        <v>Bajo</v>
      </c>
    </row>
  </sheetData>
  <autoFilter ref="A8:AS32">
    <filterColumn colId="10" showButton="0"/>
    <filterColumn colId="43" showButton="0"/>
  </autoFilter>
  <mergeCells count="8">
    <mergeCell ref="B2:D4"/>
    <mergeCell ref="J6:R7"/>
    <mergeCell ref="K8:L8"/>
    <mergeCell ref="AR8:AS8"/>
    <mergeCell ref="E2:N4"/>
    <mergeCell ref="O2:Q2"/>
    <mergeCell ref="O3:Q3"/>
    <mergeCell ref="O4:Q4"/>
  </mergeCells>
  <phoneticPr fontId="7" type="noConversion"/>
  <conditionalFormatting sqref="L9:M32">
    <cfRule type="cellIs" dxfId="62" priority="10" operator="equal">
      <formula>"Muy Alta"</formula>
    </cfRule>
    <cfRule type="cellIs" dxfId="61" priority="11" operator="equal">
      <formula>"Alta"</formula>
    </cfRule>
    <cfRule type="cellIs" dxfId="60" priority="12" operator="equal">
      <formula>"Baja"</formula>
    </cfRule>
    <cfRule type="cellIs" dxfId="59" priority="13" operator="equal">
      <formula>"Muy Baja"</formula>
    </cfRule>
    <cfRule type="cellIs" dxfId="58" priority="14" operator="equal">
      <formula>"Media"</formula>
    </cfRule>
  </conditionalFormatting>
  <conditionalFormatting sqref="O9:P32">
    <cfRule type="cellIs" dxfId="57" priority="5" operator="equal">
      <formula>"Catastrofico"</formula>
    </cfRule>
    <cfRule type="cellIs" dxfId="56" priority="6" operator="equal">
      <formula>"Mayor"</formula>
    </cfRule>
    <cfRule type="cellIs" dxfId="55" priority="7" operator="equal">
      <formula>"Moderado"</formula>
    </cfRule>
    <cfRule type="cellIs" dxfId="54" priority="8" operator="equal">
      <formula>"Menor"</formula>
    </cfRule>
    <cfRule type="cellIs" dxfId="53" priority="9" operator="equal">
      <formula>"Leve"</formula>
    </cfRule>
  </conditionalFormatting>
  <conditionalFormatting sqref="R9:R32">
    <cfRule type="cellIs" dxfId="52" priority="1" operator="equal">
      <formula>"Extremo"</formula>
    </cfRule>
    <cfRule type="cellIs" dxfId="51" priority="2" operator="equal">
      <formula>"Alto"</formula>
    </cfRule>
    <cfRule type="cellIs" dxfId="50" priority="3" operator="equal">
      <formula>"Moderado"</formula>
    </cfRule>
    <cfRule type="cellIs" dxfId="49" priority="4" operator="equal">
      <formula>"Bajo"</formula>
    </cfRule>
  </conditionalFormatting>
  <dataValidations xWindow="483" yWindow="472" count="2">
    <dataValidation type="list" showErrorMessage="1" errorTitle="Error" error="Seleccione la clasificación del Riesgo" prompt=" " sqref="I9">
      <formula1>INDIRECT($H$9)</formula1>
    </dataValidation>
    <dataValidation type="list" allowBlank="1" showErrorMessage="1" prompt=" " sqref="I10:I32">
      <formula1>INDIRECT($H10)</formula1>
    </dataValidation>
  </dataValidations>
  <pageMargins left="0.7" right="0.7" top="0.75" bottom="0.75" header="0.3" footer="0.3"/>
  <pageSetup paperSize="14" scale="30" fitToHeight="0" orientation="landscape" r:id="rId1"/>
  <drawing r:id="rId2"/>
  <legacyDrawing r:id="rId3"/>
  <extLst>
    <ext xmlns:x14="http://schemas.microsoft.com/office/spreadsheetml/2009/9/main" uri="{CCE6A557-97BC-4b89-ADB6-D9C93CAAB3DF}">
      <x14:dataValidations xmlns:xm="http://schemas.microsoft.com/office/excel/2006/main" xWindow="483" yWindow="472" count="6">
        <x14:dataValidation type="list" allowBlank="1" showInputMessage="1" showErrorMessage="1" promptTitle="Seleccione" prompt="La afectación economica que tendria la entidad de ocurrir este RIESGO">
          <x14:formula1>
            <xm:f>Afectación!$E$4:$E$13</xm:f>
          </x14:formula1>
          <xm:sqref>M11:M12 M19</xm:sqref>
        </x14:dataValidation>
        <x14:dataValidation type="list" allowBlank="1" showInputMessage="1" showErrorMessage="1" promptTitle="Seleccione" prompt="La afectación que tendria la entidad de ocurrir este RIESGO">
          <x14:formula1>
            <xm:f>Tablas!$I$10:$I$19</xm:f>
          </x14:formula1>
          <xm:sqref>M9</xm:sqref>
        </x14:dataValidation>
        <x14:dataValidation type="list" allowBlank="1" showInputMessage="1" showErrorMessage="1" promptTitle="Seleccione" prompt="La afectación que tendria la entidad de ocurrir este RIESGO">
          <x14:formula1>
            <xm:f>Afectación!$E$4:$E$13</xm:f>
          </x14:formula1>
          <xm:sqref>M10 M13:M18 M20:M32</xm:sqref>
        </x14:dataValidation>
        <x14:dataValidation type="list" allowBlank="1" showInputMessage="1" showErrorMessage="1" promptTitle="Seleccione" prompt=" ">
          <x14:formula1>
            <xm:f>Listas!$C$21:$C$27</xm:f>
          </x14:formula1>
          <xm:sqref>H9:H32</xm:sqref>
        </x14:dataValidation>
        <x14:dataValidation type="list" allowBlank="1" showInputMessage="1" showErrorMessage="1" errorTitle="Seleccione" error="Áreas de Impacto" promptTitle="Identificación " prompt="de Areas de Impacto">
          <x14:formula1>
            <xm:f>Listas!$E$3:$E$5</xm:f>
          </x14:formula1>
          <xm:sqref>D9:D32</xm:sqref>
        </x14:dataValidation>
        <x14:dataValidation type="list" allowBlank="1" showInputMessage="1" showErrorMessage="1" errorTitle="Seleccione" error="El Proceso" promptTitle="Proceso" prompt=" ">
          <x14:formula1>
            <xm:f>Listas!$C$3:$C$17</xm:f>
          </x14:formula1>
          <xm:sqref>C9:C32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12"/>
  <sheetViews>
    <sheetView topLeftCell="B1" zoomScale="70" zoomScaleNormal="70" zoomScaleSheetLayoutView="70" workbookViewId="0">
      <pane xSplit="2" ySplit="4" topLeftCell="D7" activePane="bottomRight" state="frozenSplit"/>
      <selection activeCell="AB13" sqref="Z13:AB13"/>
      <selection pane="topRight" activeCell="D1" sqref="D1"/>
      <selection pane="bottomLeft" activeCell="B9" sqref="B9:B12"/>
      <selection pane="bottomRight" activeCell="D9" sqref="D9"/>
    </sheetView>
  </sheetViews>
  <sheetFormatPr baseColWidth="10" defaultColWidth="11.42578125" defaultRowHeight="15" x14ac:dyDescent="0.25"/>
  <cols>
    <col min="1" max="1" width="8.5703125" style="2" customWidth="1"/>
    <col min="2" max="2" width="11.42578125" style="2"/>
    <col min="3" max="3" width="47" style="2" customWidth="1"/>
    <col min="4" max="4" width="20.28515625" style="2" customWidth="1"/>
    <col min="5" max="5" width="27.5703125" style="1" customWidth="1"/>
    <col min="6" max="6" width="27.28515625" style="1" customWidth="1"/>
    <col min="7" max="7" width="22.28515625" style="1" customWidth="1"/>
    <col min="8" max="8" width="24.140625" style="2" customWidth="1"/>
    <col min="9" max="9" width="22.28515625" style="1" customWidth="1"/>
    <col min="10" max="10" width="28.85546875" style="1" hidden="1" customWidth="1"/>
    <col min="11" max="11" width="18.42578125" style="2" customWidth="1"/>
    <col min="12" max="12" width="17.7109375" style="2" customWidth="1"/>
    <col min="13" max="13" width="15.7109375" style="2" customWidth="1"/>
    <col min="14" max="14" width="17.5703125" style="2" hidden="1" customWidth="1"/>
    <col min="15" max="15" width="20.85546875" style="1" customWidth="1"/>
    <col min="16" max="16" width="26.42578125" style="2" customWidth="1"/>
    <col min="17" max="17" width="37.85546875" style="2" customWidth="1"/>
    <col min="18" max="18" width="20.28515625" style="2" customWidth="1"/>
    <col min="19" max="19" width="27.140625" style="2" customWidth="1"/>
    <col min="20" max="21" width="27" style="2" customWidth="1"/>
    <col min="22" max="22" width="24.140625" style="2" customWidth="1"/>
    <col min="23" max="23" width="24.85546875" style="2" customWidth="1"/>
    <col min="24" max="25" width="31.7109375" style="2" customWidth="1"/>
    <col min="26" max="26" width="37.85546875" style="2" customWidth="1"/>
    <col min="27" max="27" width="36.5703125" style="2" customWidth="1"/>
    <col min="28" max="28" width="39.140625" style="2" customWidth="1"/>
    <col min="29" max="16384" width="11.42578125" style="2"/>
  </cols>
  <sheetData>
    <row r="1" spans="2:28" s="50" customFormat="1" ht="16.5" thickBot="1" x14ac:dyDescent="0.3">
      <c r="B1" s="225"/>
      <c r="D1" s="53"/>
      <c r="G1" s="53"/>
      <c r="M1" s="51"/>
      <c r="N1" s="51"/>
      <c r="O1" s="51"/>
      <c r="P1" s="51"/>
      <c r="Q1" s="51"/>
      <c r="R1" s="51"/>
      <c r="S1" s="51"/>
      <c r="T1" s="51"/>
      <c r="U1" s="168"/>
      <c r="V1" s="168"/>
      <c r="W1" s="168"/>
    </row>
    <row r="2" spans="2:28" s="50" customFormat="1" ht="24" customHeight="1" x14ac:dyDescent="0.25">
      <c r="B2" s="212"/>
      <c r="C2" s="206"/>
      <c r="D2" s="704" t="s">
        <v>188</v>
      </c>
      <c r="E2" s="695"/>
      <c r="F2" s="695"/>
      <c r="G2" s="695"/>
      <c r="H2" s="695"/>
      <c r="I2" s="695"/>
      <c r="J2" s="695"/>
      <c r="K2" s="695"/>
      <c r="L2" s="695"/>
      <c r="M2" s="695"/>
      <c r="N2" s="695"/>
      <c r="O2" s="695"/>
      <c r="P2" s="695"/>
      <c r="Q2" s="695"/>
      <c r="R2" s="695"/>
      <c r="S2" s="695"/>
      <c r="T2" s="695"/>
      <c r="U2" s="695"/>
      <c r="V2" s="695"/>
      <c r="W2" s="695"/>
      <c r="X2" s="695"/>
      <c r="Y2" s="695"/>
      <c r="Z2" s="705"/>
      <c r="AA2" s="144" t="s">
        <v>151</v>
      </c>
      <c r="AB2" s="425" t="s">
        <v>513</v>
      </c>
    </row>
    <row r="3" spans="2:28" s="50" customFormat="1" ht="24" customHeight="1" x14ac:dyDescent="0.25">
      <c r="B3" s="213"/>
      <c r="C3" s="207"/>
      <c r="D3" s="706"/>
      <c r="E3" s="696"/>
      <c r="F3" s="696"/>
      <c r="G3" s="696"/>
      <c r="H3" s="696"/>
      <c r="I3" s="696"/>
      <c r="J3" s="696"/>
      <c r="K3" s="696"/>
      <c r="L3" s="696"/>
      <c r="M3" s="696"/>
      <c r="N3" s="696"/>
      <c r="O3" s="696"/>
      <c r="P3" s="696"/>
      <c r="Q3" s="696"/>
      <c r="R3" s="696"/>
      <c r="S3" s="696"/>
      <c r="T3" s="696"/>
      <c r="U3" s="696"/>
      <c r="V3" s="696"/>
      <c r="W3" s="696"/>
      <c r="X3" s="696"/>
      <c r="Y3" s="696"/>
      <c r="Z3" s="707"/>
      <c r="AA3" s="148" t="s">
        <v>152</v>
      </c>
      <c r="AB3" s="185">
        <v>4</v>
      </c>
    </row>
    <row r="4" spans="2:28" s="50" customFormat="1" ht="24" customHeight="1" thickBot="1" x14ac:dyDescent="0.3">
      <c r="B4" s="214"/>
      <c r="C4" s="208"/>
      <c r="D4" s="708"/>
      <c r="E4" s="697"/>
      <c r="F4" s="697"/>
      <c r="G4" s="697"/>
      <c r="H4" s="697"/>
      <c r="I4" s="697"/>
      <c r="J4" s="697"/>
      <c r="K4" s="697"/>
      <c r="L4" s="697"/>
      <c r="M4" s="697"/>
      <c r="N4" s="697"/>
      <c r="O4" s="697"/>
      <c r="P4" s="697"/>
      <c r="Q4" s="697"/>
      <c r="R4" s="697"/>
      <c r="S4" s="697"/>
      <c r="T4" s="697"/>
      <c r="U4" s="697"/>
      <c r="V4" s="697"/>
      <c r="W4" s="697"/>
      <c r="X4" s="697"/>
      <c r="Y4" s="697"/>
      <c r="Z4" s="709"/>
      <c r="AA4" s="152" t="s">
        <v>153</v>
      </c>
      <c r="AB4" s="458">
        <v>44719</v>
      </c>
    </row>
    <row r="5" spans="2:28" s="50" customFormat="1" ht="15.75" x14ac:dyDescent="0.25">
      <c r="B5" s="225"/>
      <c r="D5" s="171"/>
      <c r="G5" s="53"/>
      <c r="M5" s="51"/>
      <c r="N5" s="51"/>
      <c r="O5" s="51"/>
      <c r="P5" s="51"/>
      <c r="Q5" s="51"/>
      <c r="R5" s="51"/>
      <c r="S5" s="51"/>
      <c r="T5" s="51"/>
      <c r="U5" s="168"/>
      <c r="V5" s="168"/>
      <c r="W5" s="168"/>
    </row>
    <row r="6" spans="2:28" s="50" customFormat="1" ht="15.75" x14ac:dyDescent="0.25">
      <c r="B6" s="225"/>
      <c r="D6" s="53"/>
      <c r="G6" s="53"/>
      <c r="M6" s="51"/>
      <c r="N6" s="51"/>
      <c r="O6" s="51"/>
      <c r="P6" s="51"/>
      <c r="Q6" s="51"/>
      <c r="R6" s="51"/>
      <c r="S6" s="51"/>
      <c r="T6" s="51"/>
      <c r="U6" s="168"/>
      <c r="V6" s="168"/>
      <c r="W6" s="168"/>
    </row>
    <row r="7" spans="2:28" s="50" customFormat="1" ht="16.5" thickBot="1" x14ac:dyDescent="0.3">
      <c r="B7" s="225"/>
      <c r="G7" s="53"/>
      <c r="M7" s="51"/>
      <c r="N7" s="51"/>
      <c r="O7" s="51"/>
      <c r="P7" s="51"/>
      <c r="Q7" s="51"/>
      <c r="R7" s="51"/>
      <c r="S7" s="51"/>
      <c r="T7" s="51"/>
      <c r="U7" s="168"/>
      <c r="V7" s="168"/>
      <c r="W7" s="168"/>
    </row>
    <row r="8" spans="2:28" ht="50.25" customHeight="1" thickBot="1" x14ac:dyDescent="0.3">
      <c r="B8" s="249" t="s">
        <v>234</v>
      </c>
      <c r="C8" s="250" t="s">
        <v>235</v>
      </c>
      <c r="D8" s="249" t="s">
        <v>245</v>
      </c>
      <c r="E8" s="249" t="s">
        <v>246</v>
      </c>
      <c r="F8" s="249" t="s">
        <v>247</v>
      </c>
      <c r="G8" s="249" t="s">
        <v>248</v>
      </c>
      <c r="H8" s="263" t="s">
        <v>250</v>
      </c>
      <c r="I8" s="264" t="s">
        <v>251</v>
      </c>
      <c r="J8" s="264" t="s">
        <v>56</v>
      </c>
      <c r="K8" s="251" t="s">
        <v>252</v>
      </c>
      <c r="L8" s="280" t="s">
        <v>228</v>
      </c>
      <c r="M8" s="220" t="s">
        <v>227</v>
      </c>
      <c r="N8" s="282" t="s">
        <v>56</v>
      </c>
      <c r="O8" s="279" t="s">
        <v>253</v>
      </c>
      <c r="P8" s="249" t="s">
        <v>254</v>
      </c>
      <c r="Q8" s="249" t="s">
        <v>255</v>
      </c>
      <c r="R8" s="249" t="s">
        <v>256</v>
      </c>
      <c r="S8" s="249" t="s">
        <v>257</v>
      </c>
      <c r="T8" s="249" t="s">
        <v>258</v>
      </c>
      <c r="U8" s="249" t="s">
        <v>259</v>
      </c>
      <c r="V8" s="249" t="s">
        <v>260</v>
      </c>
      <c r="W8" s="249" t="s">
        <v>261</v>
      </c>
      <c r="X8" s="249" t="s">
        <v>262</v>
      </c>
      <c r="Y8" s="251" t="s">
        <v>263</v>
      </c>
      <c r="Z8" s="266" t="s">
        <v>643</v>
      </c>
      <c r="AA8" s="266" t="s">
        <v>644</v>
      </c>
      <c r="AB8" s="266" t="s">
        <v>645</v>
      </c>
    </row>
    <row r="9" spans="2:28" s="402" customFormat="1" ht="116.25" customHeight="1" thickBot="1" x14ac:dyDescent="0.3">
      <c r="B9" s="253" t="str">
        <f>+'Riesgos de Corrupción'!B9</f>
        <v>RC1</v>
      </c>
      <c r="C9" s="472" t="str">
        <f>+'Controles de Corrupción'!C9</f>
        <v>Hacer uso de la herramienta SECOP II que garantiza la transparencia y pluralidad de oferentes en los procesos, considerando la respectiva modalidad de contratación, incluyendo la plataforma virtual.</v>
      </c>
      <c r="D9" s="254" t="str">
        <f>+'Controles de Corrupción'!S9</f>
        <v>Moderado</v>
      </c>
      <c r="E9" s="69" t="str">
        <f>IF(D9="Fuerte","No",IF(D9="Moderado","Si",IF(D9="Débil","Si","")))</f>
        <v>Si</v>
      </c>
      <c r="F9" s="69">
        <f>IFERROR(IF('Controles de Corrupción'!O9=" "," ",IF('Controles de Corrupción'!O9&gt;=0,('Controles de Corrupción'!M9+'Controles de Corrupción'!O9)/2))," ")</f>
        <v>57.5</v>
      </c>
      <c r="G9" s="69">
        <f>IFERROR(IF(F9=" "," ",IF(AVERAGE($F$9:$F$12)&gt;=0,AVERAGEIFS($F$9:$F$12,$B$9:$B$12,B9))),"  ")</f>
        <v>57.5</v>
      </c>
      <c r="H9" s="254" t="str">
        <f>IF(G9=" "," ",IF(G9=100,"Fuerte",IF(G9&lt;=50,"Débil",IF(G9&gt;50,"Moderado"," "))))</f>
        <v>Moderado</v>
      </c>
      <c r="I9" s="254">
        <f>IF(OR(AND(H9="Fuerte",'Controles de Corrupción'!D9="No disminuye"),AND(H9="Moderado",'Controles de Corrupción'!D9="No disminuye")),0,IF(AND(H9="Fuerte",'Controles de Corrupción'!D9="Directamente"),2,IF(AND(H9="Moderado",'Controles de Corrupción'!D9="Directamente"),1,0)))</f>
        <v>1</v>
      </c>
      <c r="J9" s="254" t="str">
        <f>+CONCATENATE(H9,'Riesgos de Corrupción'!J9,'Controles de Corrupción'!D9)</f>
        <v>ModeradoRara vezDirectamente</v>
      </c>
      <c r="K9" s="254" t="str">
        <f>VLOOKUP(J9,Tablas!$D$94:$H$124,5,FALSE)</f>
        <v>Rara vez</v>
      </c>
      <c r="L9" s="254" t="str">
        <f>+'Riesgos de Corrupción'!AE9</f>
        <v>Catastrófico</v>
      </c>
      <c r="M9" s="360">
        <f>+'Riesgos de Corrupción'!AF9</f>
        <v>1</v>
      </c>
      <c r="N9" s="360" t="str">
        <f>CONCATENATE(K9,L9)</f>
        <v>Rara vezCatastrófico</v>
      </c>
      <c r="O9" s="254" t="str">
        <f>VLOOKUP(N9,Tablas!$D$132:$G$1596,4,FALSE)</f>
        <v>Extremo</v>
      </c>
      <c r="P9" s="255" t="str">
        <f>IF(O9="Moderado","Reducir riesgo",IF(O9="Alto","Compartir riesgo",IF(O9="Extremo","Evitar riesgo"," ")))</f>
        <v>Evitar riesgo</v>
      </c>
      <c r="Q9" s="455" t="s">
        <v>441</v>
      </c>
      <c r="R9" s="255" t="s">
        <v>442</v>
      </c>
      <c r="S9" s="456" t="s">
        <v>403</v>
      </c>
      <c r="T9" s="254" t="s">
        <v>443</v>
      </c>
      <c r="U9" s="255" t="s">
        <v>444</v>
      </c>
      <c r="V9" s="255" t="s">
        <v>445</v>
      </c>
      <c r="W9" s="255" t="s">
        <v>446</v>
      </c>
      <c r="X9" s="254" t="s">
        <v>447</v>
      </c>
      <c r="Y9" s="408" t="s">
        <v>448</v>
      </c>
      <c r="Z9" s="470" t="str">
        <f>+CONCATENATE(TEXT([20]Seguimiento!$I$16,"00%"),"    ",[20]Seguimiento!$J$16,"     ",[20]Seguimiento!$K$16)</f>
        <v xml:space="preserve">100%    Excelente gestión     Conforme a los contratos publicados en el SECOP II, se relaciona solamente 1  invitacion pública las cuales cuentan con la respuesta de observaciones debidamente publicadas  </v>
      </c>
      <c r="AA9" s="470" t="str">
        <f>+CONCATENATE(TEXT([20]Seguimiento!$I$17,"00%"),"    ",[20]Seguimiento!$J$17,"     ",[20]Seguimiento!$K$17)</f>
        <v xml:space="preserve">100%    Excelente gestión     Conforme a los contratos publicados en el SECOP II, se relaciona solamente 1  invitacion pública las cuales cuentan con la respuesta de observaciones debidamente publicadas  </v>
      </c>
      <c r="AB9" s="470" t="str">
        <f>+CONCATENATE(TEXT([20]Seguimiento!$I$18,"00%"),"    ",[20]Seguimiento!$J$18,"     ",[20]Seguimiento!$K$18)</f>
        <v>00%    Avance muy bajo     OK</v>
      </c>
    </row>
    <row r="10" spans="2:28" s="402" customFormat="1" ht="115.5" customHeight="1" thickBot="1" x14ac:dyDescent="0.3">
      <c r="B10" s="253" t="str">
        <f>+'Riesgos de Corrupción'!B10</f>
        <v>RC2</v>
      </c>
      <c r="C10" s="473" t="str">
        <f>+'Controles de Corrupción'!C10</f>
        <v>Registro a través de actas de entrega y recibido del inmueble entre el IDUVI y la dependencia o entidad pública responsable de recibir el inmueble</v>
      </c>
      <c r="D10" s="261" t="str">
        <f>+'Controles de Corrupción'!S10</f>
        <v>Fuerte</v>
      </c>
      <c r="E10" s="258" t="str">
        <f t="shared" ref="E10:E12" si="0">IF(D10="Fuerte","No",IF(D10="Moderado","Si",IF(D10="Débil","Si","")))</f>
        <v>No</v>
      </c>
      <c r="F10" s="265">
        <f>IFERROR(IF('Controles de Corrupción'!O10=" "," ",IF('Controles de Corrupción'!O10&gt;=0,('Controles de Corrupción'!M10+'Controles de Corrupción'!O10)/2))," ")</f>
        <v>57.5</v>
      </c>
      <c r="G10" s="265">
        <f>IFERROR(IF(F10=" "," ",IF(AVERAGE($F$9:$F$12)&gt;=0,AVERAGEIFS($F$9:$F$12,$B$9:$B$12,B10))),"  ")</f>
        <v>57.5</v>
      </c>
      <c r="H10" s="261" t="str">
        <f t="shared" ref="H10:H12" si="1">IF(G10=" "," ",IF(G10=100,"Fuerte",IF(G10&lt;=50,"Débil",IF(G10&gt;50,"Moderado"," "))))</f>
        <v>Moderado</v>
      </c>
      <c r="I10" s="261">
        <f>IF(OR(AND(H10="Fuerte",'Controles de Corrupción'!D10="No disminuye"),AND(H10="Moderado",'Controles de Corrupción'!D10="No disminuye")),0,IF(AND(H10="Fuerte",'Controles de Corrupción'!D10="Directamente"),2,IF(AND(H10="Moderado",'Controles de Corrupción'!D10="Directamente"),1,0)))</f>
        <v>1</v>
      </c>
      <c r="J10" s="258" t="str">
        <f>+CONCATENATE(H10,'Riesgos de Corrupción'!J10,'Controles de Corrupción'!D10)</f>
        <v>ModeradoProbableDirectamente</v>
      </c>
      <c r="K10" s="258" t="str">
        <f>VLOOKUP(J10,Tablas!$D$94:$H$124,5,FALSE)</f>
        <v>Posible</v>
      </c>
      <c r="L10" s="261" t="str">
        <f>+'Riesgos de Corrupción'!AE10</f>
        <v>Mayor</v>
      </c>
      <c r="M10" s="281">
        <f>+'Riesgos de Corrupción'!AF10</f>
        <v>0.8</v>
      </c>
      <c r="N10" s="281" t="str">
        <f>CONCATENATE(K10,L10)</f>
        <v>PosibleMayor</v>
      </c>
      <c r="O10" s="261" t="str">
        <f>VLOOKUP(N10,Tablas!$D$132:$G$1596,4,FALSE)</f>
        <v>Extremo</v>
      </c>
      <c r="P10" s="262" t="str">
        <f t="shared" ref="P10:P12" si="2">IF(O10="Moderado","Reducir riesgo",IF(O10="Alto","Compartir riesgo",IF(O10="Extremo","Evitar riesgo"," ")))</f>
        <v>Evitar riesgo</v>
      </c>
      <c r="Q10" s="401" t="s">
        <v>375</v>
      </c>
      <c r="R10" s="261" t="s">
        <v>419</v>
      </c>
      <c r="S10" s="399" t="s">
        <v>374</v>
      </c>
      <c r="T10" s="261" t="s">
        <v>420</v>
      </c>
      <c r="U10" s="262" t="s">
        <v>421</v>
      </c>
      <c r="V10" s="262" t="s">
        <v>422</v>
      </c>
      <c r="W10" s="262" t="s">
        <v>423</v>
      </c>
      <c r="X10" s="262" t="s">
        <v>424</v>
      </c>
      <c r="Y10" s="423" t="s">
        <v>425</v>
      </c>
      <c r="Z10" s="542" t="s">
        <v>650</v>
      </c>
      <c r="AA10" s="542" t="s">
        <v>651</v>
      </c>
      <c r="AB10" s="542" t="s">
        <v>652</v>
      </c>
    </row>
    <row r="11" spans="2:28" s="402" customFormat="1" ht="105" customHeight="1" thickBot="1" x14ac:dyDescent="0.3">
      <c r="B11" s="253" t="str">
        <f>+'Riesgos de Corrupción'!B11</f>
        <v>RC3</v>
      </c>
      <c r="C11" s="473" t="str">
        <f>+'Controles de Corrupción'!C11</f>
        <v>Solicitud de documentos que acrediten la disponibilidad de los recursos y la efectiva ejecución de las especificaciones contractuales tales como CDP, RP, Certificaciones del supervisor, cuenta de cobro, entre otros.</v>
      </c>
      <c r="D11" s="261" t="str">
        <f>+'Controles de Corrupción'!S11</f>
        <v>Fuerte</v>
      </c>
      <c r="E11" s="258" t="str">
        <f t="shared" si="0"/>
        <v>No</v>
      </c>
      <c r="F11" s="265">
        <f>IFERROR(IF('Controles de Corrupción'!O11=" "," ",IF('Controles de Corrupción'!O11&gt;=0,('Controles de Corrupción'!M11+'Controles de Corrupción'!O11)/2))," ")</f>
        <v>57.5</v>
      </c>
      <c r="G11" s="265">
        <f>IFERROR(IF(F11=" "," ",IF(AVERAGE($F$9:$F$12)&gt;=0,AVERAGEIFS($F$9:$F$12,$B$9:$B$12,B11))),"  ")</f>
        <v>57.5</v>
      </c>
      <c r="H11" s="261" t="str">
        <f t="shared" si="1"/>
        <v>Moderado</v>
      </c>
      <c r="I11" s="261">
        <f>IF(OR(AND(H11="Fuerte",'Controles de Corrupción'!D11="No disminuye"),AND(H11="Moderado",'Controles de Corrupción'!D11="No disminuye")),0,IF(AND(H11="Fuerte",'Controles de Corrupción'!D11="Directamente"),2,IF(AND(H11="Moderado",'Controles de Corrupción'!D11="Directamente"),1,0)))</f>
        <v>1</v>
      </c>
      <c r="J11" s="258" t="str">
        <f>+CONCATENATE(H11,'Riesgos de Corrupción'!J11,'Controles de Corrupción'!D11)</f>
        <v>ModeradoRara vezDirectamente</v>
      </c>
      <c r="K11" s="261" t="str">
        <f>VLOOKUP(J11,Tablas!$D$94:$H$124,5,FALSE)</f>
        <v>Rara vez</v>
      </c>
      <c r="L11" s="261" t="str">
        <f>+'Riesgos de Corrupción'!AE11</f>
        <v>Catastrófico</v>
      </c>
      <c r="M11" s="281">
        <f>+'Riesgos de Corrupción'!AF11</f>
        <v>1</v>
      </c>
      <c r="N11" s="281" t="str">
        <f t="shared" ref="N11:N12" si="3">CONCATENATE(K11,L11)</f>
        <v>Rara vezCatastrófico</v>
      </c>
      <c r="O11" s="261" t="str">
        <f>VLOOKUP(N11,Tablas!$D$132:$G$1596,4,FALSE)</f>
        <v>Extremo</v>
      </c>
      <c r="P11" s="262" t="str">
        <f t="shared" si="2"/>
        <v>Evitar riesgo</v>
      </c>
      <c r="Q11" s="401" t="s">
        <v>497</v>
      </c>
      <c r="R11" s="261" t="s">
        <v>498</v>
      </c>
      <c r="S11" s="399" t="s">
        <v>499</v>
      </c>
      <c r="T11" s="261" t="s">
        <v>443</v>
      </c>
      <c r="U11" s="262" t="s">
        <v>500</v>
      </c>
      <c r="V11" s="261" t="s">
        <v>501</v>
      </c>
      <c r="W11" s="262" t="s">
        <v>502</v>
      </c>
      <c r="X11" s="261" t="s">
        <v>503</v>
      </c>
      <c r="Y11" s="423" t="s">
        <v>559</v>
      </c>
      <c r="Z11" s="470" t="str">
        <f>+CONCATENATE(TEXT([14]Seguimiento!$I$19,"00%"),"    ",[14]Seguimiento!$I$19,"   ",[14]Seguimiento!$J$19)</f>
        <v>100%    1   Excelente gestión</v>
      </c>
      <c r="AA11" s="470" t="str">
        <f>+CONCATENATE(TEXT([14]Seguimiento!$I$20,"00%"),"    ",[14]Seguimiento!$I$20,"   ",[14]Seguimiento!$J$20)</f>
        <v>100%    1   Excelente gestión</v>
      </c>
      <c r="AB11" s="470" t="str">
        <f>+CONCATENATE(TEXT([14]Seguimiento!$I$21,"00%"),"    ",[14]Seguimiento!$I$21,"   ",[14]Seguimiento!$J$21)</f>
        <v>100%    1   Excelente gestión</v>
      </c>
    </row>
    <row r="12" spans="2:28" s="402" customFormat="1" ht="119.25" customHeight="1" x14ac:dyDescent="0.25">
      <c r="B12" s="253" t="str">
        <f>+'Riesgos de Corrupción'!B12</f>
        <v>RC4</v>
      </c>
      <c r="C12" s="473" t="str">
        <f>+'Controles de Corrupción'!C12</f>
        <v>Revisión a través de actas de visitas, registros fotográficos, radicaciones, procesos contractuales a través del SECOP II, cruces de bases de datos para validar y verificar información que garantice el cumplimiento estricto de la norma vigente y de las condiciones propias de la entidad.</v>
      </c>
      <c r="D12" s="261" t="str">
        <f>+'Controles de Corrupción'!S12</f>
        <v>Fuerte</v>
      </c>
      <c r="E12" s="258" t="str">
        <f t="shared" si="0"/>
        <v>No</v>
      </c>
      <c r="F12" s="265">
        <f>IFERROR(IF('Controles de Corrupción'!O12=" "," ",IF('Controles de Corrupción'!O12&gt;=0,('Controles de Corrupción'!M12+'Controles de Corrupción'!O12)/2))," ")</f>
        <v>57.5</v>
      </c>
      <c r="G12" s="265">
        <f>IFERROR(IF(F12=" "," ",IF(AVERAGE($F$9:$F$12)&gt;=0,AVERAGEIFS($F$9:$F$12,$B$9:$B$12,B12))),"  ")</f>
        <v>57.5</v>
      </c>
      <c r="H12" s="261" t="str">
        <f t="shared" si="1"/>
        <v>Moderado</v>
      </c>
      <c r="I12" s="261">
        <f>IF(OR(AND(H12="Fuerte",'Controles de Corrupción'!D12="No disminuye"),AND(H12="Moderado",'Controles de Corrupción'!D12="No disminuye")),0,IF(AND(H12="Fuerte",'Controles de Corrupción'!D12="Directamente"),2,IF(AND(H12="Moderado",'Controles de Corrupción'!D12="Directamente"),1,0)))</f>
        <v>1</v>
      </c>
      <c r="J12" s="258" t="str">
        <f>+CONCATENATE(H12,'Riesgos de Corrupción'!J12,'Controles de Corrupción'!D12)</f>
        <v>ModeradoRara vezDirectamente</v>
      </c>
      <c r="K12" s="261" t="str">
        <f>VLOOKUP(J12,Tablas!$D$94:$H$124,5,FALSE)</f>
        <v>Rara vez</v>
      </c>
      <c r="L12" s="261" t="str">
        <f>+'Riesgos de Corrupción'!AE12</f>
        <v>Catastrófico</v>
      </c>
      <c r="M12" s="281">
        <f>+'Riesgos de Corrupción'!AF12</f>
        <v>1</v>
      </c>
      <c r="N12" s="281" t="str">
        <f t="shared" si="3"/>
        <v>Rara vezCatastrófico</v>
      </c>
      <c r="O12" s="261" t="str">
        <f>VLOOKUP(N12,Tablas!$D$132:$G$1596,4,FALSE)</f>
        <v>Extremo</v>
      </c>
      <c r="P12" s="262" t="str">
        <f t="shared" si="2"/>
        <v>Evitar riesgo</v>
      </c>
      <c r="Q12" s="424" t="s">
        <v>521</v>
      </c>
      <c r="R12" s="262" t="s">
        <v>522</v>
      </c>
      <c r="S12" s="262" t="s">
        <v>377</v>
      </c>
      <c r="T12" s="261" t="s">
        <v>430</v>
      </c>
      <c r="U12" s="262" t="s">
        <v>504</v>
      </c>
      <c r="V12" s="261" t="s">
        <v>431</v>
      </c>
      <c r="W12" s="262" t="s">
        <v>432</v>
      </c>
      <c r="X12" s="261" t="s">
        <v>433</v>
      </c>
      <c r="Y12" s="423" t="s">
        <v>434</v>
      </c>
      <c r="Z12" s="470" t="str">
        <f>+[11]Seguimiento!$K$16</f>
        <v>EN ESTE MOMENTO ESTA EN PROCESO LA RESOLUCION 32.  POR LO ANTERIOR, NO SE TIENE AUN EL NUMERO DE PERSONAS FAVORECIDAS PARA LOS SUBSIDIOS</v>
      </c>
      <c r="AA12" s="470" t="s">
        <v>653</v>
      </c>
      <c r="AB12" s="470" t="s">
        <v>654</v>
      </c>
    </row>
  </sheetData>
  <mergeCells count="1">
    <mergeCell ref="D2:Z4"/>
  </mergeCells>
  <conditionalFormatting sqref="D9:D12 H9:H12">
    <cfRule type="cellIs" dxfId="8" priority="10" operator="equal">
      <formula>"Fuerte"</formula>
    </cfRule>
    <cfRule type="cellIs" dxfId="7" priority="11" operator="equal">
      <formula>"Moderado"</formula>
    </cfRule>
    <cfRule type="cellIs" dxfId="6" priority="12" operator="equal">
      <formula>"Débil"</formula>
    </cfRule>
  </conditionalFormatting>
  <conditionalFormatting sqref="L9:L12">
    <cfRule type="cellIs" dxfId="5" priority="4" operator="equal">
      <formula>"Mayor"</formula>
    </cfRule>
    <cfRule type="cellIs" dxfId="4" priority="5" operator="equal">
      <formula>"Moderado"</formula>
    </cfRule>
    <cfRule type="cellIs" dxfId="3" priority="6" operator="equal">
      <formula>"Catastrófico"</formula>
    </cfRule>
  </conditionalFormatting>
  <conditionalFormatting sqref="O9:O12">
    <cfRule type="cellIs" dxfId="2" priority="1" operator="equal">
      <formula>"Alto"</formula>
    </cfRule>
    <cfRule type="cellIs" dxfId="1" priority="2" operator="equal">
      <formula>"Moderado"</formula>
    </cfRule>
    <cfRule type="cellIs" dxfId="0" priority="3" operator="equal">
      <formula>"Extremo"</formula>
    </cfRule>
  </conditionalFormatting>
  <pageMargins left="0.25" right="0.25" top="0.75" bottom="0.75" header="0.3" footer="0.3"/>
  <pageSetup paperSize="3" scale="31"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1" sqref="J21"/>
    </sheetView>
  </sheetViews>
  <sheetFormatPr baseColWidth="10"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B1:H12"/>
  <sheetViews>
    <sheetView workbookViewId="0">
      <selection activeCell="G9" sqref="G9"/>
    </sheetView>
  </sheetViews>
  <sheetFormatPr baseColWidth="10" defaultColWidth="11.42578125" defaultRowHeight="15" x14ac:dyDescent="0.25"/>
  <cols>
    <col min="1" max="1" width="11.85546875" style="2" customWidth="1"/>
    <col min="2" max="2" width="20.42578125" style="1" hidden="1" customWidth="1"/>
    <col min="3" max="3" width="16.42578125" style="2" customWidth="1"/>
    <col min="4" max="4" width="16.140625" style="1" customWidth="1"/>
    <col min="5" max="5" width="12.85546875" style="2" customWidth="1"/>
    <col min="6" max="6" width="11.42578125" style="2"/>
    <col min="7" max="7" width="14.140625" style="2" customWidth="1"/>
    <col min="8" max="16384" width="11.42578125" style="2"/>
  </cols>
  <sheetData>
    <row r="1" spans="2:8" ht="15.75" thickBot="1" x14ac:dyDescent="0.3"/>
    <row r="2" spans="2:8" ht="15.75" thickBot="1" x14ac:dyDescent="0.3">
      <c r="B2" s="710" t="s">
        <v>135</v>
      </c>
      <c r="C2" s="712"/>
      <c r="D2" s="712"/>
      <c r="E2" s="711"/>
      <c r="G2" s="710" t="s">
        <v>87</v>
      </c>
      <c r="H2" s="711"/>
    </row>
    <row r="3" spans="2:8" ht="30.75" customHeight="1" thickBot="1" x14ac:dyDescent="0.3">
      <c r="B3" s="9" t="s">
        <v>57</v>
      </c>
      <c r="C3" s="7" t="s">
        <v>61</v>
      </c>
      <c r="D3" s="10" t="s">
        <v>62</v>
      </c>
      <c r="E3" s="8" t="s">
        <v>63</v>
      </c>
      <c r="G3" s="6" t="s">
        <v>72</v>
      </c>
      <c r="H3" s="5">
        <v>0.25</v>
      </c>
    </row>
    <row r="4" spans="2:8" ht="36" customHeight="1" x14ac:dyDescent="0.25">
      <c r="B4" s="37" t="str">
        <f t="shared" ref="B4:B9" si="0">CONCATENATE(C4,D4)</f>
        <v>Control PreventivoAutomático</v>
      </c>
      <c r="C4" s="38" t="s">
        <v>72</v>
      </c>
      <c r="D4" s="39" t="s">
        <v>86</v>
      </c>
      <c r="E4" s="40">
        <f>H3+H6</f>
        <v>0.5</v>
      </c>
      <c r="G4" s="29" t="s">
        <v>73</v>
      </c>
      <c r="H4" s="30">
        <v>0.15</v>
      </c>
    </row>
    <row r="5" spans="2:8" ht="30" x14ac:dyDescent="0.25">
      <c r="B5" s="28" t="str">
        <f t="shared" si="0"/>
        <v>Control PreventivoManual</v>
      </c>
      <c r="C5" s="29" t="s">
        <v>72</v>
      </c>
      <c r="D5" s="4" t="s">
        <v>85</v>
      </c>
      <c r="E5" s="30">
        <f>+H3+H7</f>
        <v>0.4</v>
      </c>
      <c r="G5" s="29" t="s">
        <v>74</v>
      </c>
      <c r="H5" s="30">
        <v>0.1</v>
      </c>
    </row>
    <row r="6" spans="2:8" ht="42" customHeight="1" x14ac:dyDescent="0.25">
      <c r="B6" s="28" t="str">
        <f t="shared" si="0"/>
        <v>Control DetectivoAutomático</v>
      </c>
      <c r="C6" s="29" t="s">
        <v>73</v>
      </c>
      <c r="D6" s="4" t="s">
        <v>86</v>
      </c>
      <c r="E6" s="30">
        <f>+H4+H6</f>
        <v>0.4</v>
      </c>
      <c r="G6" s="12" t="s">
        <v>84</v>
      </c>
      <c r="H6" s="30">
        <v>0.25</v>
      </c>
    </row>
    <row r="7" spans="2:8" ht="42" customHeight="1" thickBot="1" x14ac:dyDescent="0.3">
      <c r="B7" s="28" t="str">
        <f t="shared" si="0"/>
        <v>Control DetectivoManual</v>
      </c>
      <c r="C7" s="29" t="s">
        <v>73</v>
      </c>
      <c r="D7" s="4" t="s">
        <v>85</v>
      </c>
      <c r="E7" s="30">
        <f>+H4+H7</f>
        <v>0.3</v>
      </c>
      <c r="G7" s="13" t="s">
        <v>85</v>
      </c>
      <c r="H7" s="34">
        <v>0.15</v>
      </c>
    </row>
    <row r="8" spans="2:8" ht="42" customHeight="1" x14ac:dyDescent="0.25">
      <c r="B8" s="28" t="str">
        <f t="shared" si="0"/>
        <v>Control CorrectivoAutomático</v>
      </c>
      <c r="C8" s="29" t="s">
        <v>74</v>
      </c>
      <c r="D8" s="4" t="s">
        <v>86</v>
      </c>
      <c r="E8" s="30">
        <f>+H5+H6</f>
        <v>0.35</v>
      </c>
    </row>
    <row r="9" spans="2:8" ht="42" customHeight="1" thickBot="1" x14ac:dyDescent="0.3">
      <c r="B9" s="31" t="str">
        <f t="shared" si="0"/>
        <v>Control CorrectivoManual</v>
      </c>
      <c r="C9" s="32" t="s">
        <v>74</v>
      </c>
      <c r="D9" s="33" t="s">
        <v>85</v>
      </c>
      <c r="E9" s="34">
        <f>+H5+H7</f>
        <v>0.25</v>
      </c>
    </row>
    <row r="10" spans="2:8" ht="42" customHeight="1" x14ac:dyDescent="0.25"/>
    <row r="12" spans="2:8" ht="15.75" customHeight="1" x14ac:dyDescent="0.25">
      <c r="B12" s="35"/>
      <c r="D12" s="35"/>
      <c r="E12" s="36"/>
      <c r="F12" s="3"/>
    </row>
  </sheetData>
  <mergeCells count="2">
    <mergeCell ref="G2:H2"/>
    <mergeCell ref="B2:E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3:H15"/>
  <sheetViews>
    <sheetView workbookViewId="0">
      <selection activeCell="J9" sqref="J9"/>
    </sheetView>
  </sheetViews>
  <sheetFormatPr baseColWidth="10" defaultColWidth="11.42578125" defaultRowHeight="15" x14ac:dyDescent="0.25"/>
  <cols>
    <col min="1" max="1" width="17.42578125" style="25" customWidth="1"/>
    <col min="2" max="2" width="6" style="2" customWidth="1"/>
    <col min="3" max="3" width="11.42578125" style="2"/>
    <col min="4" max="8" width="13.140625" style="2" customWidth="1"/>
    <col min="9" max="16384" width="11.42578125" style="2"/>
  </cols>
  <sheetData>
    <row r="3" spans="2:8" ht="15.75" thickBot="1" x14ac:dyDescent="0.3">
      <c r="C3" s="722" t="s">
        <v>116</v>
      </c>
      <c r="D3" s="722"/>
      <c r="E3" s="722"/>
      <c r="F3" s="722"/>
    </row>
    <row r="4" spans="2:8" ht="19.5" customHeight="1" thickBot="1" x14ac:dyDescent="0.3">
      <c r="C4" s="14" t="s">
        <v>93</v>
      </c>
      <c r="D4" s="15" t="s">
        <v>93</v>
      </c>
      <c r="E4" s="16" t="s">
        <v>93</v>
      </c>
      <c r="F4" s="17"/>
    </row>
    <row r="5" spans="2:8" ht="23.25" x14ac:dyDescent="0.25">
      <c r="C5" s="23" t="s">
        <v>108</v>
      </c>
      <c r="D5" s="23" t="s">
        <v>108</v>
      </c>
      <c r="E5" s="23" t="s">
        <v>108</v>
      </c>
      <c r="F5" s="23" t="s">
        <v>108</v>
      </c>
    </row>
    <row r="6" spans="2:8" x14ac:dyDescent="0.25">
      <c r="C6" s="24" t="s">
        <v>58</v>
      </c>
      <c r="D6" s="24" t="s">
        <v>53</v>
      </c>
      <c r="E6" s="24" t="s">
        <v>41</v>
      </c>
      <c r="F6" s="24" t="s">
        <v>54</v>
      </c>
    </row>
    <row r="7" spans="2:8" ht="15.75" thickBot="1" x14ac:dyDescent="0.3">
      <c r="C7" s="24"/>
      <c r="D7" s="24"/>
      <c r="E7" s="24"/>
      <c r="F7" s="24"/>
    </row>
    <row r="8" spans="2:8" ht="22.5" customHeight="1" thickBot="1" x14ac:dyDescent="0.3">
      <c r="B8" s="713" t="s">
        <v>141</v>
      </c>
      <c r="C8" s="714"/>
      <c r="D8" s="714"/>
      <c r="E8" s="714"/>
      <c r="F8" s="714"/>
      <c r="G8" s="714"/>
      <c r="H8" s="715"/>
    </row>
    <row r="9" spans="2:8" ht="18" customHeight="1" thickBot="1" x14ac:dyDescent="0.3">
      <c r="B9" s="723"/>
      <c r="C9" s="724"/>
      <c r="D9" s="716" t="s">
        <v>0</v>
      </c>
      <c r="E9" s="717"/>
      <c r="F9" s="717"/>
      <c r="G9" s="717"/>
      <c r="H9" s="718"/>
    </row>
    <row r="10" spans="2:8" ht="30.75" thickBot="1" x14ac:dyDescent="0.3">
      <c r="B10" s="725"/>
      <c r="C10" s="726"/>
      <c r="D10" s="203" t="s">
        <v>39</v>
      </c>
      <c r="E10" s="204" t="s">
        <v>40</v>
      </c>
      <c r="F10" s="204" t="s">
        <v>41</v>
      </c>
      <c r="G10" s="204" t="s">
        <v>42</v>
      </c>
      <c r="H10" s="205" t="s">
        <v>92</v>
      </c>
    </row>
    <row r="11" spans="2:8" ht="30.75" customHeight="1" x14ac:dyDescent="0.25">
      <c r="B11" s="719" t="s">
        <v>50</v>
      </c>
      <c r="C11" s="200" t="s">
        <v>38</v>
      </c>
      <c r="D11" s="97"/>
      <c r="E11" s="98"/>
      <c r="F11" s="98"/>
      <c r="G11" s="98"/>
      <c r="H11" s="99"/>
    </row>
    <row r="12" spans="2:8" ht="30.75" customHeight="1" x14ac:dyDescent="0.25">
      <c r="B12" s="720"/>
      <c r="C12" s="201" t="s">
        <v>37</v>
      </c>
      <c r="D12" s="100"/>
      <c r="E12" s="41"/>
      <c r="F12" s="18"/>
      <c r="G12" s="18"/>
      <c r="H12" s="19"/>
    </row>
    <row r="13" spans="2:8" ht="30.75" customHeight="1" x14ac:dyDescent="0.25">
      <c r="B13" s="720"/>
      <c r="C13" s="201" t="s">
        <v>36</v>
      </c>
      <c r="D13" s="100"/>
      <c r="E13" s="41"/>
      <c r="F13" s="41"/>
      <c r="G13" s="18"/>
      <c r="H13" s="19"/>
    </row>
    <row r="14" spans="2:8" ht="30.75" customHeight="1" x14ac:dyDescent="0.25">
      <c r="B14" s="720"/>
      <c r="C14" s="201" t="s">
        <v>35</v>
      </c>
      <c r="D14" s="101"/>
      <c r="E14" s="41"/>
      <c r="F14" s="41"/>
      <c r="G14" s="18"/>
      <c r="H14" s="19"/>
    </row>
    <row r="15" spans="2:8" ht="30.75" customHeight="1" thickBot="1" x14ac:dyDescent="0.3">
      <c r="B15" s="721"/>
      <c r="C15" s="202" t="s">
        <v>34</v>
      </c>
      <c r="D15" s="102"/>
      <c r="E15" s="20"/>
      <c r="F15" s="42"/>
      <c r="G15" s="21"/>
      <c r="H15" s="22"/>
    </row>
  </sheetData>
  <mergeCells count="5">
    <mergeCell ref="B8:H8"/>
    <mergeCell ref="D9:H9"/>
    <mergeCell ref="B11:B15"/>
    <mergeCell ref="C3:F3"/>
    <mergeCell ref="B9:C10"/>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Q146"/>
  <sheetViews>
    <sheetView topLeftCell="A25" zoomScale="55" zoomScaleNormal="55" workbookViewId="0">
      <selection activeCell="L16" sqref="L16"/>
    </sheetView>
  </sheetViews>
  <sheetFormatPr baseColWidth="10" defaultColWidth="11.42578125" defaultRowHeight="16.5" x14ac:dyDescent="0.3"/>
  <cols>
    <col min="1" max="1" width="8" style="43" customWidth="1"/>
    <col min="2" max="2" width="6.140625" style="44" customWidth="1"/>
    <col min="3" max="3" width="7.7109375" style="43" customWidth="1"/>
    <col min="4" max="4" width="32" style="43" customWidth="1"/>
    <col min="5" max="5" width="32.5703125" style="43" customWidth="1"/>
    <col min="6" max="6" width="24" style="43" customWidth="1"/>
    <col min="7" max="8" width="19.42578125" style="43" customWidth="1"/>
    <col min="9" max="9" width="38.7109375" style="43" customWidth="1"/>
    <col min="10" max="10" width="42.28515625" style="43" customWidth="1"/>
    <col min="11" max="11" width="17.140625" style="43" customWidth="1"/>
    <col min="12" max="12" width="41.7109375" style="43" customWidth="1"/>
    <col min="13" max="13" width="20.140625" style="43" customWidth="1"/>
    <col min="14" max="14" width="25.140625" style="43" customWidth="1"/>
    <col min="15" max="15" width="11.42578125" style="43" customWidth="1"/>
    <col min="16" max="17" width="24.5703125" style="43" customWidth="1"/>
    <col min="18" max="20" width="11.42578125" style="43"/>
    <col min="21" max="21" width="11.42578125" style="43" customWidth="1"/>
    <col min="22" max="22" width="39" style="43" customWidth="1"/>
    <col min="23" max="23" width="53.5703125" style="43" customWidth="1"/>
    <col min="24" max="16384" width="11.42578125" style="43"/>
  </cols>
  <sheetData>
    <row r="2" spans="2:12" x14ac:dyDescent="0.3">
      <c r="B2" s="728"/>
      <c r="C2" s="728"/>
      <c r="D2" s="728"/>
    </row>
    <row r="4" spans="2:12" ht="17.25" thickBot="1" x14ac:dyDescent="0.35"/>
    <row r="5" spans="2:12" ht="21.75" customHeight="1" x14ac:dyDescent="0.3">
      <c r="D5" s="729" t="s">
        <v>127</v>
      </c>
      <c r="E5" s="730"/>
      <c r="F5" s="731"/>
      <c r="I5" s="729" t="s">
        <v>133</v>
      </c>
      <c r="J5" s="730"/>
      <c r="K5" s="730"/>
      <c r="L5" s="731"/>
    </row>
    <row r="6" spans="2:12" ht="21.75" customHeight="1" thickBot="1" x14ac:dyDescent="0.35">
      <c r="D6" s="732"/>
      <c r="E6" s="733"/>
      <c r="F6" s="734"/>
      <c r="I6" s="732"/>
      <c r="J6" s="733"/>
      <c r="K6" s="733"/>
      <c r="L6" s="734"/>
    </row>
    <row r="9" spans="2:12" ht="17.25" thickBot="1" x14ac:dyDescent="0.35">
      <c r="D9" s="299"/>
      <c r="E9" s="300" t="s">
        <v>33</v>
      </c>
      <c r="F9" s="300" t="s">
        <v>50</v>
      </c>
      <c r="I9" s="300" t="s">
        <v>83</v>
      </c>
      <c r="J9" s="300" t="s">
        <v>7</v>
      </c>
      <c r="K9" s="300" t="s">
        <v>0</v>
      </c>
    </row>
    <row r="10" spans="2:12" ht="49.5" x14ac:dyDescent="0.3">
      <c r="D10" s="301" t="s">
        <v>34</v>
      </c>
      <c r="E10" s="341" t="s">
        <v>122</v>
      </c>
      <c r="F10" s="302">
        <v>0.2</v>
      </c>
      <c r="I10" s="303" t="s">
        <v>44</v>
      </c>
      <c r="J10" s="304">
        <v>0.2</v>
      </c>
      <c r="K10" s="382" t="s">
        <v>39</v>
      </c>
    </row>
    <row r="11" spans="2:12" ht="33" x14ac:dyDescent="0.3">
      <c r="D11" s="305" t="s">
        <v>35</v>
      </c>
      <c r="E11" s="342" t="s">
        <v>123</v>
      </c>
      <c r="F11" s="306">
        <v>0.4</v>
      </c>
      <c r="I11" s="307" t="s">
        <v>45</v>
      </c>
      <c r="J11" s="308">
        <v>0.4</v>
      </c>
      <c r="K11" s="384" t="s">
        <v>40</v>
      </c>
    </row>
    <row r="12" spans="2:12" ht="33" x14ac:dyDescent="0.3">
      <c r="D12" s="309" t="s">
        <v>36</v>
      </c>
      <c r="E12" s="342" t="s">
        <v>124</v>
      </c>
      <c r="F12" s="306">
        <v>0.6</v>
      </c>
      <c r="I12" s="307" t="s">
        <v>46</v>
      </c>
      <c r="J12" s="308">
        <v>0.6</v>
      </c>
      <c r="K12" s="385" t="s">
        <v>41</v>
      </c>
    </row>
    <row r="13" spans="2:12" ht="49.5" x14ac:dyDescent="0.3">
      <c r="D13" s="310" t="s">
        <v>37</v>
      </c>
      <c r="E13" s="342" t="s">
        <v>125</v>
      </c>
      <c r="F13" s="306">
        <v>0.8</v>
      </c>
      <c r="I13" s="307" t="s">
        <v>47</v>
      </c>
      <c r="J13" s="308">
        <v>0.8</v>
      </c>
      <c r="K13" s="386" t="s">
        <v>42</v>
      </c>
    </row>
    <row r="14" spans="2:12" ht="33.75" thickBot="1" x14ac:dyDescent="0.35">
      <c r="D14" s="311" t="s">
        <v>38</v>
      </c>
      <c r="E14" s="343" t="s">
        <v>126</v>
      </c>
      <c r="F14" s="312">
        <v>1</v>
      </c>
      <c r="I14" s="313" t="s">
        <v>48</v>
      </c>
      <c r="J14" s="314">
        <v>1</v>
      </c>
      <c r="K14" s="388" t="s">
        <v>43</v>
      </c>
    </row>
    <row r="15" spans="2:12" ht="33" x14ac:dyDescent="0.3">
      <c r="D15" s="396"/>
      <c r="E15" s="397"/>
      <c r="F15" s="380"/>
      <c r="I15" s="381" t="s">
        <v>128</v>
      </c>
      <c r="J15" s="304">
        <v>0.2</v>
      </c>
      <c r="K15" s="382" t="s">
        <v>39</v>
      </c>
      <c r="L15" s="398"/>
    </row>
    <row r="16" spans="2:12" ht="66" x14ac:dyDescent="0.3">
      <c r="D16" s="396"/>
      <c r="E16" s="397"/>
      <c r="F16" s="380"/>
      <c r="I16" s="383" t="s">
        <v>129</v>
      </c>
      <c r="J16" s="308">
        <v>0.4</v>
      </c>
      <c r="K16" s="384" t="s">
        <v>40</v>
      </c>
      <c r="L16" s="398"/>
    </row>
    <row r="17" spans="1:17" ht="49.5" x14ac:dyDescent="0.3">
      <c r="D17" s="396"/>
      <c r="E17" s="397"/>
      <c r="F17" s="380"/>
      <c r="I17" s="383" t="s">
        <v>130</v>
      </c>
      <c r="J17" s="308">
        <v>0.6</v>
      </c>
      <c r="K17" s="385" t="s">
        <v>41</v>
      </c>
      <c r="L17" s="398"/>
    </row>
    <row r="18" spans="1:17" ht="49.5" x14ac:dyDescent="0.3">
      <c r="D18" s="396"/>
      <c r="E18" s="397"/>
      <c r="F18" s="380"/>
      <c r="I18" s="383" t="s">
        <v>131</v>
      </c>
      <c r="J18" s="308">
        <v>0.8</v>
      </c>
      <c r="K18" s="386" t="s">
        <v>42</v>
      </c>
      <c r="L18" s="398"/>
    </row>
    <row r="19" spans="1:17" ht="50.25" thickBot="1" x14ac:dyDescent="0.35">
      <c r="D19" s="396"/>
      <c r="E19" s="397"/>
      <c r="F19" s="380"/>
      <c r="I19" s="387" t="s">
        <v>132</v>
      </c>
      <c r="J19" s="314">
        <v>1</v>
      </c>
      <c r="K19" s="388" t="s">
        <v>43</v>
      </c>
      <c r="L19" s="398"/>
    </row>
    <row r="20" spans="1:17" x14ac:dyDescent="0.3">
      <c r="D20" s="396"/>
      <c r="E20" s="397"/>
      <c r="F20" s="380"/>
      <c r="J20" s="2"/>
      <c r="K20" s="2"/>
      <c r="L20" s="398"/>
    </row>
    <row r="21" spans="1:17" x14ac:dyDescent="0.3">
      <c r="D21" s="396"/>
      <c r="E21" s="397"/>
      <c r="F21" s="380"/>
      <c r="J21" s="2"/>
      <c r="K21" s="2"/>
      <c r="L21" s="398"/>
    </row>
    <row r="22" spans="1:17" x14ac:dyDescent="0.3">
      <c r="D22" s="396"/>
      <c r="E22" s="397"/>
      <c r="F22" s="380"/>
      <c r="J22" s="2"/>
      <c r="K22" s="2"/>
      <c r="L22" s="398"/>
    </row>
    <row r="23" spans="1:17" x14ac:dyDescent="0.3">
      <c r="J23" s="2"/>
      <c r="K23" s="2"/>
      <c r="P23" s="2"/>
      <c r="Q23" s="2"/>
    </row>
    <row r="24" spans="1:17" x14ac:dyDescent="0.3">
      <c r="J24" s="2"/>
      <c r="K24" s="2"/>
      <c r="P24" s="2"/>
      <c r="Q24" s="2"/>
    </row>
    <row r="25" spans="1:17" ht="46.5" customHeight="1" x14ac:dyDescent="0.3">
      <c r="P25" s="2"/>
      <c r="Q25" s="2"/>
    </row>
    <row r="26" spans="1:17" x14ac:dyDescent="0.3">
      <c r="P26" s="2"/>
      <c r="Q26" s="2"/>
    </row>
    <row r="27" spans="1:17" x14ac:dyDescent="0.3">
      <c r="P27" s="2"/>
      <c r="Q27" s="2"/>
    </row>
    <row r="28" spans="1:17" x14ac:dyDescent="0.3">
      <c r="D28" s="727" t="s">
        <v>203</v>
      </c>
      <c r="E28" s="727"/>
      <c r="F28" s="727"/>
      <c r="G28" s="727"/>
      <c r="H28" s="727"/>
      <c r="I28" s="727"/>
      <c r="J28" s="727"/>
      <c r="K28" s="727"/>
      <c r="L28" s="211"/>
    </row>
    <row r="29" spans="1:17" x14ac:dyDescent="0.3">
      <c r="D29" s="727"/>
      <c r="E29" s="727"/>
      <c r="F29" s="727"/>
      <c r="G29" s="727"/>
      <c r="H29" s="727"/>
      <c r="I29" s="727"/>
      <c r="J29" s="727"/>
      <c r="K29" s="727"/>
      <c r="L29" s="211"/>
    </row>
    <row r="30" spans="1:17" x14ac:dyDescent="0.3">
      <c r="D30" s="727"/>
      <c r="E30" s="727"/>
      <c r="F30" s="727"/>
      <c r="G30" s="727"/>
      <c r="H30" s="727"/>
      <c r="I30" s="727"/>
      <c r="J30" s="727"/>
      <c r="K30" s="727"/>
      <c r="L30" s="211"/>
      <c r="M30" s="323"/>
    </row>
    <row r="31" spans="1:17" s="44" customFormat="1" x14ac:dyDescent="0.25">
      <c r="M31" s="323"/>
    </row>
    <row r="32" spans="1:17" ht="22.5" customHeight="1" x14ac:dyDescent="0.3">
      <c r="A32" s="45"/>
      <c r="B32" s="46"/>
      <c r="C32" s="47"/>
      <c r="D32" s="47"/>
      <c r="E32" s="47"/>
      <c r="F32" s="47"/>
      <c r="G32" s="47"/>
      <c r="M32" s="323"/>
    </row>
    <row r="33" spans="1:17" ht="41.25" customHeight="1" x14ac:dyDescent="0.3">
      <c r="A33" s="45"/>
      <c r="B33" s="46"/>
      <c r="C33" s="48"/>
      <c r="D33" s="735" t="s">
        <v>50</v>
      </c>
      <c r="E33" s="735"/>
      <c r="F33" s="735"/>
      <c r="G33" s="315"/>
      <c r="H33" s="315"/>
      <c r="J33" s="736" t="s">
        <v>5</v>
      </c>
      <c r="K33" s="736"/>
      <c r="L33" s="736"/>
    </row>
    <row r="34" spans="1:17" ht="22.5" customHeight="1" x14ac:dyDescent="0.3">
      <c r="A34" s="45"/>
      <c r="B34" s="46"/>
      <c r="C34" s="48"/>
      <c r="D34" s="47"/>
      <c r="E34" s="47"/>
      <c r="F34" s="47"/>
      <c r="G34" s="47"/>
    </row>
    <row r="35" spans="1:17" ht="47.25" customHeight="1" thickBot="1" x14ac:dyDescent="0.35">
      <c r="A35" s="45"/>
      <c r="B35" s="46"/>
      <c r="C35" s="48"/>
      <c r="D35" s="316" t="s">
        <v>191</v>
      </c>
      <c r="E35" s="316" t="s">
        <v>192</v>
      </c>
      <c r="F35" s="316" t="s">
        <v>190</v>
      </c>
      <c r="G35" s="47"/>
      <c r="J35" s="316" t="s">
        <v>191</v>
      </c>
      <c r="K35" s="316" t="s">
        <v>190</v>
      </c>
      <c r="L35" s="316" t="s">
        <v>206</v>
      </c>
    </row>
    <row r="36" spans="1:17" ht="33" x14ac:dyDescent="0.3">
      <c r="A36" s="45"/>
      <c r="B36" s="46"/>
      <c r="C36" s="47"/>
      <c r="D36" s="317" t="s">
        <v>193</v>
      </c>
      <c r="E36" s="318" t="s">
        <v>198</v>
      </c>
      <c r="F36" s="319">
        <v>0.2</v>
      </c>
      <c r="G36" s="320">
        <v>1</v>
      </c>
      <c r="J36" s="321" t="s">
        <v>41</v>
      </c>
      <c r="K36" s="322">
        <v>0.6</v>
      </c>
      <c r="L36" s="318" t="s">
        <v>207</v>
      </c>
    </row>
    <row r="37" spans="1:17" ht="33" x14ac:dyDescent="0.3">
      <c r="C37" s="49"/>
      <c r="D37" s="324" t="s">
        <v>194</v>
      </c>
      <c r="E37" s="325" t="s">
        <v>199</v>
      </c>
      <c r="F37" s="326">
        <v>0.4</v>
      </c>
      <c r="G37" s="327">
        <v>2</v>
      </c>
      <c r="J37" s="310" t="s">
        <v>42</v>
      </c>
      <c r="K37" s="328">
        <v>0.8</v>
      </c>
      <c r="L37" s="325" t="s">
        <v>204</v>
      </c>
    </row>
    <row r="38" spans="1:17" ht="33.75" thickBot="1" x14ac:dyDescent="0.35">
      <c r="C38" s="46"/>
      <c r="D38" s="329" t="s">
        <v>195</v>
      </c>
      <c r="E38" s="325" t="s">
        <v>200</v>
      </c>
      <c r="F38" s="326">
        <v>0.6</v>
      </c>
      <c r="G38" s="330">
        <v>3</v>
      </c>
      <c r="H38" s="268"/>
      <c r="J38" s="311" t="s">
        <v>92</v>
      </c>
      <c r="K38" s="331">
        <v>1</v>
      </c>
      <c r="L38" s="332" t="s">
        <v>205</v>
      </c>
    </row>
    <row r="39" spans="1:17" ht="32.25" customHeight="1" x14ac:dyDescent="0.3">
      <c r="D39" s="333" t="s">
        <v>196</v>
      </c>
      <c r="E39" s="325" t="s">
        <v>202</v>
      </c>
      <c r="F39" s="326">
        <v>0.8</v>
      </c>
      <c r="G39" s="334">
        <v>4</v>
      </c>
    </row>
    <row r="40" spans="1:17" ht="33.75" thickBot="1" x14ac:dyDescent="0.35">
      <c r="D40" s="335" t="s">
        <v>197</v>
      </c>
      <c r="E40" s="332" t="s">
        <v>201</v>
      </c>
      <c r="F40" s="336">
        <v>1</v>
      </c>
      <c r="G40" s="337">
        <v>5</v>
      </c>
    </row>
    <row r="41" spans="1:17" x14ac:dyDescent="0.3">
      <c r="N41" s="2"/>
      <c r="O41" s="2"/>
      <c r="P41" s="2"/>
      <c r="Q41" s="2"/>
    </row>
    <row r="42" spans="1:17" x14ac:dyDescent="0.3">
      <c r="N42" s="2"/>
      <c r="O42" s="2"/>
      <c r="P42" s="2"/>
      <c r="Q42" s="2"/>
    </row>
    <row r="43" spans="1:17" x14ac:dyDescent="0.3">
      <c r="N43" s="2"/>
      <c r="O43" s="2"/>
      <c r="P43" s="2"/>
      <c r="Q43" s="2"/>
    </row>
    <row r="44" spans="1:17" x14ac:dyDescent="0.3">
      <c r="N44" s="2"/>
      <c r="O44" s="2"/>
      <c r="P44" s="2"/>
      <c r="Q44" s="2"/>
    </row>
    <row r="45" spans="1:17" x14ac:dyDescent="0.3">
      <c r="N45" s="2"/>
      <c r="O45" s="2"/>
      <c r="P45" s="2"/>
      <c r="Q45" s="2"/>
    </row>
    <row r="46" spans="1:17" x14ac:dyDescent="0.3">
      <c r="N46" s="2"/>
      <c r="O46" s="2"/>
      <c r="P46" s="2"/>
      <c r="Q46" s="2"/>
    </row>
    <row r="47" spans="1:17" x14ac:dyDescent="0.3">
      <c r="N47" s="2"/>
      <c r="O47" s="2"/>
      <c r="P47" s="2"/>
      <c r="Q47" s="2"/>
    </row>
    <row r="48" spans="1:17" x14ac:dyDescent="0.3">
      <c r="N48" s="2"/>
      <c r="O48" s="2"/>
      <c r="P48" s="2"/>
      <c r="Q48" s="2"/>
    </row>
    <row r="49" spans="14:17" x14ac:dyDescent="0.3">
      <c r="N49" s="2"/>
      <c r="O49" s="2"/>
      <c r="P49" s="2"/>
      <c r="Q49" s="2"/>
    </row>
    <row r="50" spans="14:17" x14ac:dyDescent="0.3">
      <c r="N50" s="2"/>
      <c r="O50" s="2"/>
      <c r="P50" s="2"/>
      <c r="Q50" s="2"/>
    </row>
    <row r="82" spans="4:8" ht="17.25" thickBot="1" x14ac:dyDescent="0.35"/>
    <row r="83" spans="4:8" ht="17.25" thickBot="1" x14ac:dyDescent="0.35">
      <c r="D83" s="298" t="s">
        <v>327</v>
      </c>
    </row>
    <row r="84" spans="4:8" ht="17.25" x14ac:dyDescent="0.3">
      <c r="D84" s="338" t="s">
        <v>325</v>
      </c>
    </row>
    <row r="85" spans="4:8" ht="17.25" x14ac:dyDescent="0.3">
      <c r="D85" s="339" t="s">
        <v>326</v>
      </c>
    </row>
    <row r="86" spans="4:8" ht="17.25" x14ac:dyDescent="0.3">
      <c r="D86" s="339" t="s">
        <v>320</v>
      </c>
    </row>
    <row r="87" spans="4:8" ht="17.25" x14ac:dyDescent="0.3">
      <c r="D87" s="340" t="s">
        <v>319</v>
      </c>
    </row>
    <row r="88" spans="4:8" ht="17.25" x14ac:dyDescent="0.3">
      <c r="D88" s="340" t="s">
        <v>324</v>
      </c>
    </row>
    <row r="89" spans="4:8" ht="17.25" x14ac:dyDescent="0.3">
      <c r="D89" s="339" t="s">
        <v>323</v>
      </c>
    </row>
    <row r="90" spans="4:8" ht="17.25" x14ac:dyDescent="0.3">
      <c r="D90" s="339" t="s">
        <v>322</v>
      </c>
    </row>
    <row r="91" spans="4:8" ht="17.25" x14ac:dyDescent="0.3">
      <c r="D91" s="339" t="s">
        <v>321</v>
      </c>
    </row>
    <row r="93" spans="4:8" ht="16.5" customHeight="1" thickBot="1" x14ac:dyDescent="0.35"/>
    <row r="94" spans="4:8" ht="39.75" customHeight="1" thickBot="1" x14ac:dyDescent="0.35">
      <c r="D94" s="347" t="s">
        <v>56</v>
      </c>
      <c r="E94" s="349" t="s">
        <v>317</v>
      </c>
      <c r="F94" s="350" t="s">
        <v>50</v>
      </c>
      <c r="G94" s="350" t="s">
        <v>83</v>
      </c>
      <c r="H94" s="348" t="s">
        <v>316</v>
      </c>
    </row>
    <row r="95" spans="4:8" x14ac:dyDescent="0.3">
      <c r="D95" s="258" t="str">
        <f t="shared" ref="D95:D124" si="0">CONCATENATE(E95,F95,G95)</f>
        <v>FuerteRara vezDirectamente</v>
      </c>
      <c r="E95" s="344" t="s">
        <v>305</v>
      </c>
      <c r="F95" s="344" t="s">
        <v>193</v>
      </c>
      <c r="G95" s="345" t="s">
        <v>275</v>
      </c>
      <c r="H95" s="346" t="s">
        <v>193</v>
      </c>
    </row>
    <row r="96" spans="4:8" x14ac:dyDescent="0.3">
      <c r="D96" s="261" t="str">
        <f t="shared" si="0"/>
        <v>FuerteRara vezNo Disminuye</v>
      </c>
      <c r="E96" s="269" t="s">
        <v>305</v>
      </c>
      <c r="F96" s="269" t="s">
        <v>193</v>
      </c>
      <c r="G96" s="270" t="s">
        <v>312</v>
      </c>
      <c r="H96" s="271" t="s">
        <v>193</v>
      </c>
    </row>
    <row r="97" spans="4:8" x14ac:dyDescent="0.3">
      <c r="D97" s="261" t="str">
        <f t="shared" si="0"/>
        <v>FuerteImprobableDirectamente</v>
      </c>
      <c r="E97" s="269" t="s">
        <v>305</v>
      </c>
      <c r="F97" s="269" t="s">
        <v>194</v>
      </c>
      <c r="G97" s="270" t="s">
        <v>275</v>
      </c>
      <c r="H97" s="271" t="s">
        <v>193</v>
      </c>
    </row>
    <row r="98" spans="4:8" x14ac:dyDescent="0.3">
      <c r="D98" s="261" t="str">
        <f t="shared" si="0"/>
        <v>FuerteImprobableNo Disminuye</v>
      </c>
      <c r="E98" s="269" t="s">
        <v>305</v>
      </c>
      <c r="F98" s="269" t="s">
        <v>194</v>
      </c>
      <c r="G98" s="270" t="s">
        <v>312</v>
      </c>
      <c r="H98" s="272" t="s">
        <v>194</v>
      </c>
    </row>
    <row r="99" spans="4:8" x14ac:dyDescent="0.3">
      <c r="D99" s="261" t="str">
        <f t="shared" si="0"/>
        <v>FuertePosibleDirectamente</v>
      </c>
      <c r="E99" s="269" t="s">
        <v>305</v>
      </c>
      <c r="F99" s="269" t="s">
        <v>195</v>
      </c>
      <c r="G99" s="270" t="s">
        <v>275</v>
      </c>
      <c r="H99" s="271" t="s">
        <v>193</v>
      </c>
    </row>
    <row r="100" spans="4:8" x14ac:dyDescent="0.3">
      <c r="D100" s="261" t="str">
        <f t="shared" si="0"/>
        <v>FuertePosibleNo Disminuye</v>
      </c>
      <c r="E100" s="269" t="s">
        <v>305</v>
      </c>
      <c r="F100" s="269" t="s">
        <v>195</v>
      </c>
      <c r="G100" s="270" t="s">
        <v>312</v>
      </c>
      <c r="H100" s="273" t="s">
        <v>195</v>
      </c>
    </row>
    <row r="101" spans="4:8" x14ac:dyDescent="0.3">
      <c r="D101" s="261" t="str">
        <f t="shared" si="0"/>
        <v>FuerteProbableDirectamente</v>
      </c>
      <c r="E101" s="269" t="s">
        <v>305</v>
      </c>
      <c r="F101" s="269" t="s">
        <v>196</v>
      </c>
      <c r="G101" s="270" t="s">
        <v>275</v>
      </c>
      <c r="H101" s="272" t="s">
        <v>194</v>
      </c>
    </row>
    <row r="102" spans="4:8" x14ac:dyDescent="0.3">
      <c r="D102" s="261" t="str">
        <f t="shared" si="0"/>
        <v>FuerteProbableNo Disminuye</v>
      </c>
      <c r="E102" s="269" t="s">
        <v>305</v>
      </c>
      <c r="F102" s="269" t="s">
        <v>196</v>
      </c>
      <c r="G102" s="270" t="s">
        <v>312</v>
      </c>
      <c r="H102" s="274" t="s">
        <v>196</v>
      </c>
    </row>
    <row r="103" spans="4:8" x14ac:dyDescent="0.3">
      <c r="D103" s="261" t="str">
        <f t="shared" si="0"/>
        <v>FuerteCasi seguroDirectamente</v>
      </c>
      <c r="E103" s="269" t="s">
        <v>305</v>
      </c>
      <c r="F103" s="269" t="s">
        <v>197</v>
      </c>
      <c r="G103" s="270" t="s">
        <v>275</v>
      </c>
      <c r="H103" s="273" t="s">
        <v>195</v>
      </c>
    </row>
    <row r="104" spans="4:8" x14ac:dyDescent="0.3">
      <c r="D104" s="261" t="str">
        <f t="shared" si="0"/>
        <v>FuerteCasi seguroNo Disminuye</v>
      </c>
      <c r="E104" s="269" t="s">
        <v>305</v>
      </c>
      <c r="F104" s="269" t="s">
        <v>197</v>
      </c>
      <c r="G104" s="270" t="s">
        <v>312</v>
      </c>
      <c r="H104" s="275" t="s">
        <v>197</v>
      </c>
    </row>
    <row r="105" spans="4:8" x14ac:dyDescent="0.3">
      <c r="D105" s="261" t="str">
        <f t="shared" si="0"/>
        <v>ModeradoRara vezDirectamente</v>
      </c>
      <c r="E105" s="269" t="s">
        <v>41</v>
      </c>
      <c r="F105" s="269" t="s">
        <v>193</v>
      </c>
      <c r="G105" s="270" t="s">
        <v>275</v>
      </c>
      <c r="H105" s="271" t="s">
        <v>193</v>
      </c>
    </row>
    <row r="106" spans="4:8" x14ac:dyDescent="0.3">
      <c r="D106" s="261" t="str">
        <f t="shared" si="0"/>
        <v>ModeradoRara vezNo Disminuye</v>
      </c>
      <c r="E106" s="269" t="s">
        <v>41</v>
      </c>
      <c r="F106" s="269" t="s">
        <v>193</v>
      </c>
      <c r="G106" s="270" t="s">
        <v>312</v>
      </c>
      <c r="H106" s="271" t="s">
        <v>193</v>
      </c>
    </row>
    <row r="107" spans="4:8" x14ac:dyDescent="0.3">
      <c r="D107" s="261" t="str">
        <f t="shared" si="0"/>
        <v>ModeradoImprobableDirectamente</v>
      </c>
      <c r="E107" s="269" t="s">
        <v>41</v>
      </c>
      <c r="F107" s="269" t="s">
        <v>194</v>
      </c>
      <c r="G107" s="270" t="s">
        <v>275</v>
      </c>
      <c r="H107" s="271" t="s">
        <v>193</v>
      </c>
    </row>
    <row r="108" spans="4:8" x14ac:dyDescent="0.3">
      <c r="D108" s="261" t="str">
        <f t="shared" si="0"/>
        <v>ModeradoImprobableNo Disminuye</v>
      </c>
      <c r="E108" s="269" t="s">
        <v>41</v>
      </c>
      <c r="F108" s="269" t="s">
        <v>194</v>
      </c>
      <c r="G108" s="270" t="s">
        <v>312</v>
      </c>
      <c r="H108" s="272" t="s">
        <v>194</v>
      </c>
    </row>
    <row r="109" spans="4:8" x14ac:dyDescent="0.3">
      <c r="D109" s="261" t="str">
        <f t="shared" si="0"/>
        <v>ModeradoPosibleDirectamente</v>
      </c>
      <c r="E109" s="269" t="s">
        <v>41</v>
      </c>
      <c r="F109" s="269" t="s">
        <v>195</v>
      </c>
      <c r="G109" s="270" t="s">
        <v>275</v>
      </c>
      <c r="H109" s="272" t="s">
        <v>194</v>
      </c>
    </row>
    <row r="110" spans="4:8" x14ac:dyDescent="0.3">
      <c r="D110" s="261" t="str">
        <f t="shared" si="0"/>
        <v>ModeradoPosibleNo Disminuye</v>
      </c>
      <c r="E110" s="269" t="s">
        <v>41</v>
      </c>
      <c r="F110" s="269" t="s">
        <v>195</v>
      </c>
      <c r="G110" s="270" t="s">
        <v>312</v>
      </c>
      <c r="H110" s="273" t="s">
        <v>195</v>
      </c>
    </row>
    <row r="111" spans="4:8" x14ac:dyDescent="0.3">
      <c r="D111" s="261" t="str">
        <f t="shared" si="0"/>
        <v>ModeradoProbableDirectamente</v>
      </c>
      <c r="E111" s="269" t="s">
        <v>41</v>
      </c>
      <c r="F111" s="269" t="s">
        <v>196</v>
      </c>
      <c r="G111" s="270" t="s">
        <v>275</v>
      </c>
      <c r="H111" s="273" t="s">
        <v>195</v>
      </c>
    </row>
    <row r="112" spans="4:8" x14ac:dyDescent="0.3">
      <c r="D112" s="261" t="str">
        <f t="shared" si="0"/>
        <v>ModeradoProbableNo Disminuye</v>
      </c>
      <c r="E112" s="269" t="s">
        <v>41</v>
      </c>
      <c r="F112" s="269" t="s">
        <v>196</v>
      </c>
      <c r="G112" s="270" t="s">
        <v>312</v>
      </c>
      <c r="H112" s="274" t="s">
        <v>196</v>
      </c>
    </row>
    <row r="113" spans="4:9" x14ac:dyDescent="0.3">
      <c r="D113" s="261" t="str">
        <f t="shared" si="0"/>
        <v>ModeradoCasi seguroDirectamente</v>
      </c>
      <c r="E113" s="269" t="s">
        <v>41</v>
      </c>
      <c r="F113" s="269" t="s">
        <v>197</v>
      </c>
      <c r="G113" s="270" t="s">
        <v>275</v>
      </c>
      <c r="H113" s="274" t="s">
        <v>196</v>
      </c>
    </row>
    <row r="114" spans="4:9" x14ac:dyDescent="0.3">
      <c r="D114" s="261" t="str">
        <f t="shared" si="0"/>
        <v>ModeradoCasi seguroNo Disminuye</v>
      </c>
      <c r="E114" s="269" t="s">
        <v>41</v>
      </c>
      <c r="F114" s="269" t="s">
        <v>197</v>
      </c>
      <c r="G114" s="270" t="s">
        <v>312</v>
      </c>
      <c r="H114" s="275" t="s">
        <v>197</v>
      </c>
    </row>
    <row r="115" spans="4:9" x14ac:dyDescent="0.3">
      <c r="D115" s="261" t="str">
        <f t="shared" si="0"/>
        <v>DébilRara vezDirectamente</v>
      </c>
      <c r="E115" s="269" t="s">
        <v>306</v>
      </c>
      <c r="F115" s="269" t="s">
        <v>193</v>
      </c>
      <c r="G115" s="270" t="s">
        <v>275</v>
      </c>
      <c r="H115" s="276" t="s">
        <v>193</v>
      </c>
      <c r="I115" s="278" t="s">
        <v>318</v>
      </c>
    </row>
    <row r="116" spans="4:9" x14ac:dyDescent="0.3">
      <c r="D116" s="277" t="str">
        <f t="shared" si="0"/>
        <v>DébilRara vezNo Disminuye</v>
      </c>
      <c r="E116" s="269" t="s">
        <v>306</v>
      </c>
      <c r="F116" s="269" t="s">
        <v>193</v>
      </c>
      <c r="G116" s="270" t="s">
        <v>312</v>
      </c>
      <c r="H116" s="276" t="s">
        <v>193</v>
      </c>
    </row>
    <row r="117" spans="4:9" x14ac:dyDescent="0.3">
      <c r="D117" s="277" t="str">
        <f t="shared" si="0"/>
        <v>DébilImprobableDirectamente</v>
      </c>
      <c r="E117" s="269" t="s">
        <v>306</v>
      </c>
      <c r="F117" s="269" t="s">
        <v>194</v>
      </c>
      <c r="G117" s="270" t="s">
        <v>275</v>
      </c>
      <c r="H117" s="276" t="s">
        <v>194</v>
      </c>
    </row>
    <row r="118" spans="4:9" x14ac:dyDescent="0.3">
      <c r="D118" s="277" t="str">
        <f t="shared" si="0"/>
        <v>DébilImprobableNo Disminuye</v>
      </c>
      <c r="E118" s="269" t="s">
        <v>306</v>
      </c>
      <c r="F118" s="269" t="s">
        <v>194</v>
      </c>
      <c r="G118" s="270" t="s">
        <v>312</v>
      </c>
      <c r="H118" s="276" t="s">
        <v>194</v>
      </c>
    </row>
    <row r="119" spans="4:9" x14ac:dyDescent="0.3">
      <c r="D119" s="277" t="str">
        <f t="shared" si="0"/>
        <v>DébilPosibleDirectamente</v>
      </c>
      <c r="E119" s="269" t="s">
        <v>306</v>
      </c>
      <c r="F119" s="269" t="s">
        <v>195</v>
      </c>
      <c r="G119" s="270" t="s">
        <v>275</v>
      </c>
      <c r="H119" s="276" t="s">
        <v>195</v>
      </c>
    </row>
    <row r="120" spans="4:9" x14ac:dyDescent="0.3">
      <c r="D120" s="277" t="str">
        <f t="shared" si="0"/>
        <v>DébilPosibleNo Disminuye</v>
      </c>
      <c r="E120" s="269" t="s">
        <v>306</v>
      </c>
      <c r="F120" s="269" t="s">
        <v>195</v>
      </c>
      <c r="G120" s="270" t="s">
        <v>312</v>
      </c>
      <c r="H120" s="276" t="s">
        <v>195</v>
      </c>
    </row>
    <row r="121" spans="4:9" x14ac:dyDescent="0.3">
      <c r="D121" s="277" t="str">
        <f t="shared" si="0"/>
        <v>DébilProbableDirectamente</v>
      </c>
      <c r="E121" s="269" t="s">
        <v>306</v>
      </c>
      <c r="F121" s="269" t="s">
        <v>196</v>
      </c>
      <c r="G121" s="270" t="s">
        <v>275</v>
      </c>
      <c r="H121" s="276" t="s">
        <v>196</v>
      </c>
    </row>
    <row r="122" spans="4:9" x14ac:dyDescent="0.3">
      <c r="D122" s="277" t="str">
        <f t="shared" si="0"/>
        <v>DébilProbableNo Disminuye</v>
      </c>
      <c r="E122" s="269" t="s">
        <v>306</v>
      </c>
      <c r="F122" s="269" t="s">
        <v>196</v>
      </c>
      <c r="G122" s="270" t="s">
        <v>312</v>
      </c>
      <c r="H122" s="276" t="s">
        <v>196</v>
      </c>
    </row>
    <row r="123" spans="4:9" x14ac:dyDescent="0.3">
      <c r="D123" s="277" t="str">
        <f t="shared" si="0"/>
        <v>DébilCasi seguroDirectamente</v>
      </c>
      <c r="E123" s="269" t="s">
        <v>306</v>
      </c>
      <c r="F123" s="269" t="s">
        <v>197</v>
      </c>
      <c r="G123" s="270" t="s">
        <v>275</v>
      </c>
      <c r="H123" s="276" t="s">
        <v>197</v>
      </c>
    </row>
    <row r="124" spans="4:9" x14ac:dyDescent="0.3">
      <c r="D124" s="277" t="str">
        <f t="shared" si="0"/>
        <v>DébilCasi seguroNo Disminuye</v>
      </c>
      <c r="E124" s="269" t="s">
        <v>306</v>
      </c>
      <c r="F124" s="269" t="s">
        <v>197</v>
      </c>
      <c r="G124" s="270" t="s">
        <v>312</v>
      </c>
      <c r="H124" s="276" t="s">
        <v>197</v>
      </c>
    </row>
    <row r="130" spans="4:7" ht="17.25" thickBot="1" x14ac:dyDescent="0.35"/>
    <row r="131" spans="4:7" ht="17.25" thickBot="1" x14ac:dyDescent="0.35">
      <c r="D131" s="290" t="s">
        <v>56</v>
      </c>
      <c r="E131" s="291" t="s">
        <v>196</v>
      </c>
      <c r="F131" s="292" t="s">
        <v>0</v>
      </c>
      <c r="G131" s="293" t="s">
        <v>81</v>
      </c>
    </row>
    <row r="132" spans="4:7" ht="20.25" customHeight="1" x14ac:dyDescent="0.3">
      <c r="D132" s="258" t="str">
        <f>CONCATENATE(E132,F132)</f>
        <v>Rara vezModerado</v>
      </c>
      <c r="E132" s="288" t="s">
        <v>193</v>
      </c>
      <c r="F132" s="289" t="s">
        <v>41</v>
      </c>
      <c r="G132" s="294" t="s">
        <v>41</v>
      </c>
    </row>
    <row r="133" spans="4:7" ht="20.25" customHeight="1" x14ac:dyDescent="0.3">
      <c r="D133" s="261" t="str">
        <f t="shared" ref="D133:D146" si="1">CONCATENATE(E133,F133)</f>
        <v>Rara vezMayor</v>
      </c>
      <c r="E133" s="283" t="s">
        <v>193</v>
      </c>
      <c r="F133" s="274" t="s">
        <v>42</v>
      </c>
      <c r="G133" s="295" t="s">
        <v>53</v>
      </c>
    </row>
    <row r="134" spans="4:7" ht="20.25" customHeight="1" x14ac:dyDescent="0.3">
      <c r="D134" s="261" t="str">
        <f t="shared" si="1"/>
        <v>Rara vezCatastrófico</v>
      </c>
      <c r="E134" s="283" t="s">
        <v>193</v>
      </c>
      <c r="F134" s="275" t="s">
        <v>92</v>
      </c>
      <c r="G134" s="296" t="s">
        <v>58</v>
      </c>
    </row>
    <row r="135" spans="4:7" ht="20.25" customHeight="1" x14ac:dyDescent="0.3">
      <c r="D135" s="261" t="str">
        <f t="shared" si="1"/>
        <v>ImprobableModerado</v>
      </c>
      <c r="E135" s="284" t="s">
        <v>194</v>
      </c>
      <c r="F135" s="273" t="s">
        <v>41</v>
      </c>
      <c r="G135" s="294" t="s">
        <v>41</v>
      </c>
    </row>
    <row r="136" spans="4:7" ht="20.25" customHeight="1" x14ac:dyDescent="0.3">
      <c r="D136" s="261" t="str">
        <f t="shared" si="1"/>
        <v>ImprobableMayor</v>
      </c>
      <c r="E136" s="284" t="s">
        <v>194</v>
      </c>
      <c r="F136" s="274" t="s">
        <v>42</v>
      </c>
      <c r="G136" s="295" t="s">
        <v>53</v>
      </c>
    </row>
    <row r="137" spans="4:7" ht="20.25" customHeight="1" x14ac:dyDescent="0.3">
      <c r="D137" s="261" t="str">
        <f t="shared" si="1"/>
        <v>ImprobableCatastrófico</v>
      </c>
      <c r="E137" s="284" t="s">
        <v>194</v>
      </c>
      <c r="F137" s="275" t="s">
        <v>92</v>
      </c>
      <c r="G137" s="296" t="s">
        <v>58</v>
      </c>
    </row>
    <row r="138" spans="4:7" ht="20.25" customHeight="1" x14ac:dyDescent="0.3">
      <c r="D138" s="261" t="str">
        <f t="shared" si="1"/>
        <v>PosibleModerado</v>
      </c>
      <c r="E138" s="285" t="s">
        <v>195</v>
      </c>
      <c r="F138" s="273" t="s">
        <v>41</v>
      </c>
      <c r="G138" s="295" t="s">
        <v>53</v>
      </c>
    </row>
    <row r="139" spans="4:7" ht="20.25" customHeight="1" x14ac:dyDescent="0.3">
      <c r="D139" s="261" t="str">
        <f t="shared" si="1"/>
        <v>PosibleMayor</v>
      </c>
      <c r="E139" s="285" t="s">
        <v>195</v>
      </c>
      <c r="F139" s="274" t="s">
        <v>42</v>
      </c>
      <c r="G139" s="296" t="s">
        <v>58</v>
      </c>
    </row>
    <row r="140" spans="4:7" ht="20.25" customHeight="1" x14ac:dyDescent="0.3">
      <c r="D140" s="261" t="str">
        <f t="shared" si="1"/>
        <v>PosibleCatastrófico</v>
      </c>
      <c r="E140" s="285" t="s">
        <v>195</v>
      </c>
      <c r="F140" s="275" t="s">
        <v>92</v>
      </c>
      <c r="G140" s="296" t="s">
        <v>58</v>
      </c>
    </row>
    <row r="141" spans="4:7" ht="20.25" customHeight="1" x14ac:dyDescent="0.3">
      <c r="D141" s="261" t="str">
        <f t="shared" si="1"/>
        <v>ProbableModerado</v>
      </c>
      <c r="E141" s="286" t="s">
        <v>196</v>
      </c>
      <c r="F141" s="273" t="s">
        <v>41</v>
      </c>
      <c r="G141" s="295" t="s">
        <v>53</v>
      </c>
    </row>
    <row r="142" spans="4:7" ht="20.25" customHeight="1" x14ac:dyDescent="0.3">
      <c r="D142" s="261" t="str">
        <f t="shared" si="1"/>
        <v>ProbableMayor</v>
      </c>
      <c r="E142" s="286" t="s">
        <v>196</v>
      </c>
      <c r="F142" s="274" t="s">
        <v>42</v>
      </c>
      <c r="G142" s="296" t="s">
        <v>58</v>
      </c>
    </row>
    <row r="143" spans="4:7" ht="20.25" customHeight="1" x14ac:dyDescent="0.3">
      <c r="D143" s="261" t="str">
        <f t="shared" si="1"/>
        <v>ProbableCatastrófico</v>
      </c>
      <c r="E143" s="286" t="s">
        <v>196</v>
      </c>
      <c r="F143" s="275" t="s">
        <v>92</v>
      </c>
      <c r="G143" s="296" t="s">
        <v>58</v>
      </c>
    </row>
    <row r="144" spans="4:7" ht="20.25" customHeight="1" x14ac:dyDescent="0.3">
      <c r="D144" s="261" t="str">
        <f t="shared" si="1"/>
        <v>Casi seguroModerado</v>
      </c>
      <c r="E144" s="287" t="s">
        <v>197</v>
      </c>
      <c r="F144" s="273" t="s">
        <v>41</v>
      </c>
      <c r="G144" s="296" t="s">
        <v>58</v>
      </c>
    </row>
    <row r="145" spans="4:7" ht="20.25" customHeight="1" x14ac:dyDescent="0.3">
      <c r="D145" s="261" t="str">
        <f t="shared" si="1"/>
        <v>Casi seguroMayor</v>
      </c>
      <c r="E145" s="287" t="s">
        <v>197</v>
      </c>
      <c r="F145" s="274" t="s">
        <v>42</v>
      </c>
      <c r="G145" s="296" t="s">
        <v>58</v>
      </c>
    </row>
    <row r="146" spans="4:7" ht="20.25" customHeight="1" x14ac:dyDescent="0.3">
      <c r="D146" s="261" t="str">
        <f t="shared" si="1"/>
        <v>Casi seguroCatastrófico</v>
      </c>
      <c r="E146" s="287" t="s">
        <v>197</v>
      </c>
      <c r="F146" s="275" t="s">
        <v>92</v>
      </c>
      <c r="G146" s="296" t="s">
        <v>58</v>
      </c>
    </row>
  </sheetData>
  <mergeCells count="6">
    <mergeCell ref="D28:K30"/>
    <mergeCell ref="B2:D2"/>
    <mergeCell ref="D5:F6"/>
    <mergeCell ref="I5:L6"/>
    <mergeCell ref="D33:F33"/>
    <mergeCell ref="J33:L33"/>
  </mergeCells>
  <pageMargins left="0.7" right="0.7" top="0.75" bottom="0.75" header="0.3" footer="0.3"/>
  <pageSetup orientation="portrait" horizontalDpi="0"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55"/>
  <sheetViews>
    <sheetView topLeftCell="A34" workbookViewId="0">
      <selection activeCell="G3" sqref="G3:G55"/>
    </sheetView>
  </sheetViews>
  <sheetFormatPr baseColWidth="10" defaultColWidth="11.42578125" defaultRowHeight="15" x14ac:dyDescent="0.25"/>
  <cols>
    <col min="1" max="1" width="11.42578125" style="2"/>
    <col min="2" max="2" width="22" style="2" customWidth="1"/>
    <col min="3" max="3" width="22.5703125" style="2" customWidth="1"/>
    <col min="4" max="4" width="32.140625" style="2" customWidth="1"/>
    <col min="5" max="5" width="45.5703125" style="2" customWidth="1"/>
    <col min="6" max="16384" width="11.42578125" style="2"/>
  </cols>
  <sheetData>
    <row r="3" spans="2:7" ht="16.5" x14ac:dyDescent="0.25">
      <c r="B3" s="395" t="s">
        <v>83</v>
      </c>
      <c r="C3" s="393" t="s">
        <v>51</v>
      </c>
      <c r="D3" s="393" t="s">
        <v>52</v>
      </c>
      <c r="E3" s="394" t="s">
        <v>142</v>
      </c>
      <c r="G3" s="2" t="s">
        <v>41</v>
      </c>
    </row>
    <row r="4" spans="2:7" ht="33" x14ac:dyDescent="0.25">
      <c r="B4" s="390" t="s">
        <v>51</v>
      </c>
      <c r="C4" s="377" t="s">
        <v>44</v>
      </c>
      <c r="D4" s="378" t="s">
        <v>128</v>
      </c>
      <c r="E4" s="389" t="s">
        <v>44</v>
      </c>
      <c r="G4" s="2" t="s">
        <v>40</v>
      </c>
    </row>
    <row r="5" spans="2:7" ht="82.5" x14ac:dyDescent="0.25">
      <c r="B5" s="390" t="s">
        <v>52</v>
      </c>
      <c r="C5" s="377" t="s">
        <v>45</v>
      </c>
      <c r="D5" s="378" t="s">
        <v>129</v>
      </c>
      <c r="E5" s="389" t="s">
        <v>45</v>
      </c>
      <c r="G5" s="2" t="s">
        <v>42</v>
      </c>
    </row>
    <row r="6" spans="2:7" ht="66" x14ac:dyDescent="0.25">
      <c r="B6" s="391" t="s">
        <v>142</v>
      </c>
      <c r="C6" s="377" t="s">
        <v>46</v>
      </c>
      <c r="D6" s="378" t="s">
        <v>130</v>
      </c>
      <c r="E6" s="377" t="s">
        <v>46</v>
      </c>
      <c r="G6" s="2" t="s">
        <v>42</v>
      </c>
    </row>
    <row r="7" spans="2:7" ht="82.5" x14ac:dyDescent="0.25">
      <c r="B7"/>
      <c r="C7" s="377" t="s">
        <v>47</v>
      </c>
      <c r="D7" s="378" t="s">
        <v>131</v>
      </c>
      <c r="E7" s="377" t="s">
        <v>47</v>
      </c>
      <c r="G7" s="2" t="s">
        <v>42</v>
      </c>
    </row>
    <row r="8" spans="2:7" ht="49.5" x14ac:dyDescent="0.25">
      <c r="C8" s="377" t="s">
        <v>48</v>
      </c>
      <c r="D8" s="378" t="s">
        <v>132</v>
      </c>
      <c r="E8" s="377" t="s">
        <v>48</v>
      </c>
      <c r="G8" s="2" t="s">
        <v>41</v>
      </c>
    </row>
    <row r="9" spans="2:7" ht="33" x14ac:dyDescent="0.25">
      <c r="E9" s="392" t="s">
        <v>128</v>
      </c>
      <c r="G9" s="2" t="s">
        <v>41</v>
      </c>
    </row>
    <row r="10" spans="2:7" ht="49.5" x14ac:dyDescent="0.25">
      <c r="E10" s="378" t="s">
        <v>129</v>
      </c>
      <c r="G10" s="2" t="s">
        <v>41</v>
      </c>
    </row>
    <row r="11" spans="2:7" ht="33" x14ac:dyDescent="0.25">
      <c r="E11" s="378" t="s">
        <v>130</v>
      </c>
      <c r="G11" s="2" t="s">
        <v>41</v>
      </c>
    </row>
    <row r="12" spans="2:7" ht="49.5" x14ac:dyDescent="0.25">
      <c r="E12" s="378" t="s">
        <v>131</v>
      </c>
      <c r="G12" s="2" t="s">
        <v>39</v>
      </c>
    </row>
    <row r="13" spans="2:7" ht="33" x14ac:dyDescent="0.25">
      <c r="E13" s="378" t="s">
        <v>132</v>
      </c>
      <c r="G13" s="2" t="s">
        <v>40</v>
      </c>
    </row>
    <row r="14" spans="2:7" x14ac:dyDescent="0.25">
      <c r="G14" s="2" t="s">
        <v>40</v>
      </c>
    </row>
    <row r="15" spans="2:7" x14ac:dyDescent="0.25">
      <c r="G15" s="2" t="s">
        <v>39</v>
      </c>
    </row>
    <row r="16" spans="2:7" x14ac:dyDescent="0.25">
      <c r="G16" s="2" t="s">
        <v>40</v>
      </c>
    </row>
    <row r="17" spans="7:7" x14ac:dyDescent="0.25">
      <c r="G17" s="2" t="s">
        <v>42</v>
      </c>
    </row>
    <row r="18" spans="7:7" x14ac:dyDescent="0.25">
      <c r="G18" s="2" t="s">
        <v>42</v>
      </c>
    </row>
    <row r="19" spans="7:7" x14ac:dyDescent="0.25">
      <c r="G19" s="2" t="s">
        <v>41</v>
      </c>
    </row>
    <row r="20" spans="7:7" x14ac:dyDescent="0.25">
      <c r="G20" s="2" t="s">
        <v>42</v>
      </c>
    </row>
    <row r="21" spans="7:7" x14ac:dyDescent="0.25">
      <c r="G21" s="2" t="s">
        <v>41</v>
      </c>
    </row>
    <row r="22" spans="7:7" x14ac:dyDescent="0.25">
      <c r="G22" s="2" t="s">
        <v>39</v>
      </c>
    </row>
    <row r="23" spans="7:7" x14ac:dyDescent="0.25">
      <c r="G23" s="2" t="s">
        <v>39</v>
      </c>
    </row>
    <row r="24" spans="7:7" x14ac:dyDescent="0.25">
      <c r="G24" s="2" t="s">
        <v>41</v>
      </c>
    </row>
    <row r="25" spans="7:7" x14ac:dyDescent="0.25">
      <c r="G25" s="2" t="s">
        <v>40</v>
      </c>
    </row>
    <row r="26" spans="7:7" x14ac:dyDescent="0.25">
      <c r="G26" s="2" t="s">
        <v>42</v>
      </c>
    </row>
    <row r="27" spans="7:7" x14ac:dyDescent="0.25">
      <c r="G27" s="2" t="s">
        <v>39</v>
      </c>
    </row>
    <row r="28" spans="7:7" x14ac:dyDescent="0.25">
      <c r="G28" s="2" t="s">
        <v>39</v>
      </c>
    </row>
    <row r="29" spans="7:7" x14ac:dyDescent="0.25">
      <c r="G29" s="2" t="s">
        <v>39</v>
      </c>
    </row>
    <row r="30" spans="7:7" x14ac:dyDescent="0.25">
      <c r="G30" s="2" t="s">
        <v>39</v>
      </c>
    </row>
    <row r="31" spans="7:7" x14ac:dyDescent="0.25">
      <c r="G31" s="2" t="s">
        <v>39</v>
      </c>
    </row>
    <row r="32" spans="7:7" x14ac:dyDescent="0.25">
      <c r="G32" s="2" t="s">
        <v>39</v>
      </c>
    </row>
    <row r="33" spans="7:7" x14ac:dyDescent="0.25">
      <c r="G33" s="2" t="s">
        <v>40</v>
      </c>
    </row>
    <row r="34" spans="7:7" x14ac:dyDescent="0.25">
      <c r="G34" s="2" t="s">
        <v>40</v>
      </c>
    </row>
    <row r="35" spans="7:7" x14ac:dyDescent="0.25">
      <c r="G35" s="2" t="s">
        <v>41</v>
      </c>
    </row>
    <row r="36" spans="7:7" x14ac:dyDescent="0.25">
      <c r="G36" s="2" t="s">
        <v>40</v>
      </c>
    </row>
    <row r="37" spans="7:7" x14ac:dyDescent="0.25">
      <c r="G37" s="2" t="s">
        <v>39</v>
      </c>
    </row>
    <row r="38" spans="7:7" x14ac:dyDescent="0.25">
      <c r="G38" s="2" t="s">
        <v>42</v>
      </c>
    </row>
    <row r="39" spans="7:7" x14ac:dyDescent="0.25">
      <c r="G39" s="2" t="s">
        <v>43</v>
      </c>
    </row>
    <row r="40" spans="7:7" x14ac:dyDescent="0.25">
      <c r="G40" s="2" t="s">
        <v>40</v>
      </c>
    </row>
    <row r="41" spans="7:7" x14ac:dyDescent="0.25">
      <c r="G41" s="2" t="s">
        <v>41</v>
      </c>
    </row>
    <row r="42" spans="7:7" x14ac:dyDescent="0.25">
      <c r="G42" s="2" t="s">
        <v>40</v>
      </c>
    </row>
    <row r="43" spans="7:7" x14ac:dyDescent="0.25">
      <c r="G43" s="2" t="s">
        <v>42</v>
      </c>
    </row>
    <row r="44" spans="7:7" x14ac:dyDescent="0.25">
      <c r="G44" s="2" t="s">
        <v>42</v>
      </c>
    </row>
    <row r="45" spans="7:7" x14ac:dyDescent="0.25">
      <c r="G45" s="2" t="s">
        <v>42</v>
      </c>
    </row>
    <row r="46" spans="7:7" x14ac:dyDescent="0.25">
      <c r="G46" s="2" t="s">
        <v>43</v>
      </c>
    </row>
    <row r="47" spans="7:7" x14ac:dyDescent="0.25">
      <c r="G47" s="2" t="s">
        <v>42</v>
      </c>
    </row>
    <row r="48" spans="7:7" x14ac:dyDescent="0.25">
      <c r="G48" s="2" t="s">
        <v>41</v>
      </c>
    </row>
    <row r="49" spans="7:7" x14ac:dyDescent="0.25">
      <c r="G49" s="2" t="s">
        <v>41</v>
      </c>
    </row>
    <row r="50" spans="7:7" x14ac:dyDescent="0.25">
      <c r="G50" s="2" t="s">
        <v>41</v>
      </c>
    </row>
    <row r="51" spans="7:7" x14ac:dyDescent="0.25">
      <c r="G51" s="2" t="s">
        <v>40</v>
      </c>
    </row>
    <row r="52" spans="7:7" x14ac:dyDescent="0.25">
      <c r="G52" s="2" t="s">
        <v>40</v>
      </c>
    </row>
    <row r="53" spans="7:7" x14ac:dyDescent="0.25">
      <c r="G53" s="2" t="s">
        <v>42</v>
      </c>
    </row>
    <row r="54" spans="7:7" x14ac:dyDescent="0.25">
      <c r="G54" s="2" t="s">
        <v>41</v>
      </c>
    </row>
    <row r="55" spans="7:7" x14ac:dyDescent="0.25">
      <c r="G55" s="2" t="s">
        <v>41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B1:S84"/>
  <sheetViews>
    <sheetView topLeftCell="A19" zoomScale="55" zoomScaleNormal="55" workbookViewId="0">
      <selection activeCell="G27" sqref="G27"/>
    </sheetView>
  </sheetViews>
  <sheetFormatPr baseColWidth="10" defaultColWidth="11.42578125" defaultRowHeight="15.75" x14ac:dyDescent="0.25"/>
  <cols>
    <col min="1" max="1" width="11.42578125" style="50"/>
    <col min="2" max="2" width="13.7109375" style="50" customWidth="1"/>
    <col min="3" max="3" width="33.140625" style="51" customWidth="1"/>
    <col min="4" max="4" width="23.5703125" style="50" customWidth="1"/>
    <col min="5" max="5" width="24.5703125" style="50" customWidth="1"/>
    <col min="6" max="6" width="18.5703125" style="50" customWidth="1"/>
    <col min="7" max="7" width="14.140625" style="50" customWidth="1"/>
    <col min="8" max="8" width="20.140625" style="50" customWidth="1"/>
    <col min="9" max="9" width="17.5703125" style="50" customWidth="1"/>
    <col min="10" max="10" width="14.140625" style="50" customWidth="1"/>
    <col min="11" max="11" width="14.7109375" style="50" customWidth="1"/>
    <col min="12" max="12" width="20.28515625" style="73" customWidth="1"/>
    <col min="13" max="13" width="28.28515625" style="50" customWidth="1"/>
    <col min="14" max="14" width="20.85546875" style="51" customWidth="1"/>
    <col min="15" max="15" width="14.85546875" style="51" customWidth="1"/>
    <col min="16" max="17" width="11.42578125" style="50"/>
    <col min="18" max="18" width="39.5703125" style="51" bestFit="1" customWidth="1"/>
    <col min="19" max="19" width="16.5703125" style="51" customWidth="1"/>
    <col min="20" max="20" width="28.5703125" style="50" customWidth="1"/>
    <col min="21" max="16384" width="11.42578125" style="50"/>
  </cols>
  <sheetData>
    <row r="1" spans="3:19" ht="16.5" thickBot="1" x14ac:dyDescent="0.3"/>
    <row r="2" spans="3:19" ht="32.25" thickBot="1" x14ac:dyDescent="0.3">
      <c r="C2" s="74" t="s">
        <v>11</v>
      </c>
      <c r="E2" s="74" t="s">
        <v>0</v>
      </c>
      <c r="G2" s="74" t="s">
        <v>230</v>
      </c>
      <c r="L2" s="75" t="s">
        <v>56</v>
      </c>
      <c r="M2" s="76" t="s">
        <v>50</v>
      </c>
      <c r="N2" s="77" t="s">
        <v>0</v>
      </c>
      <c r="O2" s="78" t="s">
        <v>55</v>
      </c>
      <c r="R2" s="74" t="s">
        <v>32</v>
      </c>
      <c r="S2" s="104" t="s">
        <v>144</v>
      </c>
    </row>
    <row r="3" spans="3:19" ht="31.5" customHeight="1" x14ac:dyDescent="0.25">
      <c r="C3" s="62" t="s">
        <v>12</v>
      </c>
      <c r="E3" s="62" t="s">
        <v>51</v>
      </c>
      <c r="G3" s="64" t="s">
        <v>231</v>
      </c>
      <c r="L3" s="79" t="str">
        <f>CONCATENATE(M3,N3)</f>
        <v>Muy AltaLeve</v>
      </c>
      <c r="M3" s="80" t="s">
        <v>38</v>
      </c>
      <c r="N3" s="56" t="s">
        <v>39</v>
      </c>
      <c r="O3" s="81" t="s">
        <v>53</v>
      </c>
      <c r="R3" s="61" t="s">
        <v>143</v>
      </c>
      <c r="S3" s="64" t="s">
        <v>11</v>
      </c>
    </row>
    <row r="4" spans="3:19" ht="31.5" customHeight="1" x14ac:dyDescent="0.25">
      <c r="C4" s="62" t="s">
        <v>13</v>
      </c>
      <c r="E4" s="62" t="s">
        <v>52</v>
      </c>
      <c r="G4" s="64" t="s">
        <v>232</v>
      </c>
      <c r="L4" s="82" t="str">
        <f t="shared" ref="L4:L27" si="0">CONCATENATE(M4,N4)</f>
        <v>Muy AltaMenor</v>
      </c>
      <c r="M4" s="83" t="s">
        <v>38</v>
      </c>
      <c r="N4" s="62" t="s">
        <v>40</v>
      </c>
      <c r="O4" s="84" t="s">
        <v>53</v>
      </c>
      <c r="R4" s="61" t="s">
        <v>26</v>
      </c>
      <c r="S4" s="64" t="s">
        <v>145</v>
      </c>
    </row>
    <row r="5" spans="3:19" ht="31.5" customHeight="1" x14ac:dyDescent="0.25">
      <c r="C5" s="61" t="s">
        <v>14</v>
      </c>
      <c r="E5" s="72" t="s">
        <v>142</v>
      </c>
      <c r="L5" s="82" t="str">
        <f t="shared" si="0"/>
        <v>Muy AltaModerado</v>
      </c>
      <c r="M5" s="83" t="s">
        <v>38</v>
      </c>
      <c r="N5" s="62" t="s">
        <v>41</v>
      </c>
      <c r="O5" s="84" t="s">
        <v>53</v>
      </c>
      <c r="R5" s="61" t="s">
        <v>27</v>
      </c>
      <c r="S5" s="64" t="s">
        <v>146</v>
      </c>
    </row>
    <row r="6" spans="3:19" ht="31.5" customHeight="1" x14ac:dyDescent="0.25">
      <c r="C6" s="62" t="s">
        <v>15</v>
      </c>
      <c r="L6" s="82" t="str">
        <f t="shared" si="0"/>
        <v>Muy AltaMayor</v>
      </c>
      <c r="M6" s="83" t="s">
        <v>38</v>
      </c>
      <c r="N6" s="62" t="s">
        <v>42</v>
      </c>
      <c r="O6" s="84" t="s">
        <v>53</v>
      </c>
      <c r="R6" s="61" t="s">
        <v>28</v>
      </c>
      <c r="S6" s="64" t="s">
        <v>147</v>
      </c>
    </row>
    <row r="7" spans="3:19" ht="31.5" customHeight="1" x14ac:dyDescent="0.25">
      <c r="C7" s="62" t="s">
        <v>16</v>
      </c>
      <c r="L7" s="82" t="str">
        <f t="shared" si="0"/>
        <v>Muy AltaCatastrofico</v>
      </c>
      <c r="M7" s="83" t="s">
        <v>38</v>
      </c>
      <c r="N7" s="62" t="s">
        <v>43</v>
      </c>
      <c r="O7" s="84" t="s">
        <v>58</v>
      </c>
      <c r="R7" s="61" t="s">
        <v>29</v>
      </c>
      <c r="S7" s="64"/>
    </row>
    <row r="8" spans="3:19" ht="31.5" customHeight="1" x14ac:dyDescent="0.25">
      <c r="C8" s="62" t="s">
        <v>17</v>
      </c>
      <c r="F8" s="74" t="s">
        <v>83</v>
      </c>
      <c r="K8" s="50" t="s">
        <v>177</v>
      </c>
      <c r="L8" s="82" t="str">
        <f t="shared" si="0"/>
        <v>AltaLeve</v>
      </c>
      <c r="M8" s="85" t="s">
        <v>37</v>
      </c>
      <c r="N8" s="62" t="s">
        <v>39</v>
      </c>
      <c r="O8" s="84" t="s">
        <v>41</v>
      </c>
      <c r="R8" s="61" t="s">
        <v>30</v>
      </c>
      <c r="S8" s="64"/>
    </row>
    <row r="9" spans="3:19" ht="31.5" customHeight="1" x14ac:dyDescent="0.25">
      <c r="C9" s="62" t="s">
        <v>18</v>
      </c>
      <c r="E9" s="362" t="s">
        <v>120</v>
      </c>
      <c r="F9" s="72" t="s">
        <v>0</v>
      </c>
      <c r="L9" s="82" t="str">
        <f t="shared" si="0"/>
        <v>AltaMenor</v>
      </c>
      <c r="M9" s="85" t="s">
        <v>37</v>
      </c>
      <c r="N9" s="62" t="s">
        <v>40</v>
      </c>
      <c r="O9" s="84" t="s">
        <v>41</v>
      </c>
      <c r="R9" s="61" t="s">
        <v>31</v>
      </c>
      <c r="S9" s="64" t="s">
        <v>148</v>
      </c>
    </row>
    <row r="10" spans="3:19" ht="17.25" customHeight="1" x14ac:dyDescent="0.25">
      <c r="C10" s="62" t="s">
        <v>19</v>
      </c>
      <c r="E10" s="363" t="s">
        <v>139</v>
      </c>
      <c r="F10" s="72" t="s">
        <v>50</v>
      </c>
      <c r="G10" s="86"/>
      <c r="H10" s="86"/>
      <c r="I10" s="86"/>
      <c r="J10" s="86"/>
      <c r="K10" s="86"/>
      <c r="L10" s="82" t="str">
        <f t="shared" si="0"/>
        <v>AltaModerado</v>
      </c>
      <c r="M10" s="85" t="s">
        <v>37</v>
      </c>
      <c r="N10" s="62" t="s">
        <v>41</v>
      </c>
      <c r="O10" s="84" t="s">
        <v>53</v>
      </c>
      <c r="S10" s="51" t="s">
        <v>145</v>
      </c>
    </row>
    <row r="11" spans="3:19" ht="17.25" customHeight="1" x14ac:dyDescent="0.25">
      <c r="C11" s="62" t="s">
        <v>20</v>
      </c>
      <c r="E11" s="363" t="s">
        <v>140</v>
      </c>
      <c r="F11" s="72" t="s">
        <v>150</v>
      </c>
      <c r="G11" s="86"/>
      <c r="H11" s="86"/>
      <c r="I11" s="86"/>
      <c r="J11" s="86"/>
      <c r="K11" s="86"/>
      <c r="L11" s="82" t="str">
        <f t="shared" si="0"/>
        <v>AltaMayor</v>
      </c>
      <c r="M11" s="85" t="s">
        <v>37</v>
      </c>
      <c r="N11" s="62" t="s">
        <v>42</v>
      </c>
      <c r="O11" s="84" t="s">
        <v>53</v>
      </c>
    </row>
    <row r="12" spans="3:19" ht="17.25" customHeight="1" x14ac:dyDescent="0.25">
      <c r="C12" s="62" t="s">
        <v>21</v>
      </c>
      <c r="F12" s="738" t="s">
        <v>149</v>
      </c>
      <c r="G12" s="86"/>
      <c r="H12" s="86"/>
      <c r="I12" s="86"/>
      <c r="J12" s="86"/>
      <c r="K12" s="86"/>
      <c r="L12" s="82" t="str">
        <f t="shared" si="0"/>
        <v>AltaCatastrofico</v>
      </c>
      <c r="M12" s="85" t="s">
        <v>37</v>
      </c>
      <c r="N12" s="62" t="s">
        <v>43</v>
      </c>
      <c r="O12" s="84" t="s">
        <v>58</v>
      </c>
    </row>
    <row r="13" spans="3:19" ht="17.25" customHeight="1" x14ac:dyDescent="0.25">
      <c r="C13" s="62" t="s">
        <v>22</v>
      </c>
      <c r="F13" s="738"/>
      <c r="G13" s="86"/>
      <c r="H13" s="86"/>
      <c r="I13" s="86"/>
      <c r="J13" s="86"/>
      <c r="K13" s="86"/>
      <c r="L13" s="82" t="str">
        <f t="shared" si="0"/>
        <v>MediaLeve</v>
      </c>
      <c r="M13" s="87" t="s">
        <v>36</v>
      </c>
      <c r="N13" s="62" t="s">
        <v>39</v>
      </c>
      <c r="O13" s="84" t="s">
        <v>41</v>
      </c>
    </row>
    <row r="14" spans="3:19" ht="17.25" customHeight="1" x14ac:dyDescent="0.25">
      <c r="C14" s="62" t="s">
        <v>23</v>
      </c>
      <c r="F14" s="86"/>
      <c r="G14" s="86"/>
      <c r="H14" s="86"/>
      <c r="I14" s="86"/>
      <c r="J14" s="86"/>
      <c r="L14" s="82" t="str">
        <f t="shared" si="0"/>
        <v>MediaMenor</v>
      </c>
      <c r="M14" s="87" t="s">
        <v>36</v>
      </c>
      <c r="N14" s="62" t="s">
        <v>40</v>
      </c>
      <c r="O14" s="84" t="s">
        <v>41</v>
      </c>
    </row>
    <row r="15" spans="3:19" ht="17.25" customHeight="1" x14ac:dyDescent="0.25">
      <c r="C15" s="62" t="s">
        <v>169</v>
      </c>
      <c r="L15" s="82" t="str">
        <f t="shared" si="0"/>
        <v>MediaModerado</v>
      </c>
      <c r="M15" s="87" t="s">
        <v>36</v>
      </c>
      <c r="N15" s="62" t="s">
        <v>41</v>
      </c>
      <c r="O15" s="84" t="s">
        <v>41</v>
      </c>
    </row>
    <row r="16" spans="3:19" ht="17.25" customHeight="1" x14ac:dyDescent="0.25">
      <c r="C16" s="62" t="s">
        <v>24</v>
      </c>
      <c r="F16" s="86"/>
      <c r="G16" s="86"/>
      <c r="H16" s="86"/>
      <c r="I16" s="86"/>
      <c r="J16" s="86"/>
      <c r="L16" s="82" t="str">
        <f t="shared" si="0"/>
        <v>MediaMayor</v>
      </c>
      <c r="M16" s="87" t="s">
        <v>36</v>
      </c>
      <c r="N16" s="62" t="s">
        <v>42</v>
      </c>
      <c r="O16" s="84" t="s">
        <v>53</v>
      </c>
    </row>
    <row r="17" spans="3:19" ht="17.25" customHeight="1" x14ac:dyDescent="0.25">
      <c r="C17" s="62" t="s">
        <v>25</v>
      </c>
      <c r="L17" s="82" t="str">
        <f t="shared" si="0"/>
        <v>MediaCatastrofico</v>
      </c>
      <c r="M17" s="87" t="s">
        <v>36</v>
      </c>
      <c r="N17" s="62" t="s">
        <v>43</v>
      </c>
      <c r="O17" s="84" t="s">
        <v>58</v>
      </c>
    </row>
    <row r="18" spans="3:19" x14ac:dyDescent="0.25">
      <c r="L18" s="82" t="str">
        <f t="shared" si="0"/>
        <v>BajaLeve</v>
      </c>
      <c r="M18" s="88" t="s">
        <v>35</v>
      </c>
      <c r="N18" s="62" t="s">
        <v>39</v>
      </c>
      <c r="O18" s="84" t="s">
        <v>54</v>
      </c>
    </row>
    <row r="19" spans="3:19" x14ac:dyDescent="0.25">
      <c r="L19" s="82" t="str">
        <f t="shared" si="0"/>
        <v>BajaMenor</v>
      </c>
      <c r="M19" s="88" t="s">
        <v>35</v>
      </c>
      <c r="N19" s="62" t="s">
        <v>40</v>
      </c>
      <c r="O19" s="84" t="s">
        <v>41</v>
      </c>
    </row>
    <row r="20" spans="3:19" ht="72" x14ac:dyDescent="0.25">
      <c r="C20" s="190" t="s">
        <v>32</v>
      </c>
      <c r="D20" s="191" t="s">
        <v>178</v>
      </c>
      <c r="E20" s="191" t="s">
        <v>179</v>
      </c>
      <c r="F20" s="191" t="s">
        <v>180</v>
      </c>
      <c r="G20" s="191" t="s">
        <v>181</v>
      </c>
      <c r="H20" s="191" t="s">
        <v>182</v>
      </c>
      <c r="I20" s="191" t="s">
        <v>183</v>
      </c>
      <c r="J20" s="191" t="s">
        <v>185</v>
      </c>
      <c r="L20" s="82" t="str">
        <f t="shared" si="0"/>
        <v>BajaModerado</v>
      </c>
      <c r="M20" s="88" t="s">
        <v>35</v>
      </c>
      <c r="N20" s="62" t="s">
        <v>41</v>
      </c>
      <c r="O20" s="84" t="s">
        <v>41</v>
      </c>
    </row>
    <row r="21" spans="3:19" ht="36" x14ac:dyDescent="0.25">
      <c r="C21" s="192" t="s">
        <v>178</v>
      </c>
      <c r="D21" s="193" t="s">
        <v>11</v>
      </c>
      <c r="E21" s="193" t="s">
        <v>145</v>
      </c>
      <c r="F21" s="193" t="s">
        <v>146</v>
      </c>
      <c r="G21" s="193" t="s">
        <v>174</v>
      </c>
      <c r="H21" s="193" t="s">
        <v>11</v>
      </c>
      <c r="I21" s="193" t="s">
        <v>11</v>
      </c>
      <c r="J21" s="193" t="s">
        <v>175</v>
      </c>
      <c r="L21" s="82" t="str">
        <f t="shared" si="0"/>
        <v>BajaMayor</v>
      </c>
      <c r="M21" s="88" t="s">
        <v>35</v>
      </c>
      <c r="N21" s="62" t="s">
        <v>42</v>
      </c>
      <c r="O21" s="84" t="s">
        <v>53</v>
      </c>
    </row>
    <row r="22" spans="3:19" ht="18" x14ac:dyDescent="0.25">
      <c r="C22" s="192" t="s">
        <v>179</v>
      </c>
      <c r="D22" s="194"/>
      <c r="E22" s="194"/>
      <c r="F22" s="195"/>
      <c r="G22" s="195"/>
      <c r="H22" s="193" t="s">
        <v>145</v>
      </c>
      <c r="I22" s="193" t="s">
        <v>145</v>
      </c>
      <c r="J22" s="193" t="s">
        <v>145</v>
      </c>
      <c r="L22" s="82" t="str">
        <f t="shared" si="0"/>
        <v>BajaCatastrofico</v>
      </c>
      <c r="M22" s="88" t="s">
        <v>35</v>
      </c>
      <c r="N22" s="62" t="s">
        <v>43</v>
      </c>
      <c r="O22" s="84" t="s">
        <v>58</v>
      </c>
    </row>
    <row r="23" spans="3:19" ht="18" x14ac:dyDescent="0.25">
      <c r="C23" s="192" t="s">
        <v>180</v>
      </c>
      <c r="D23" s="194"/>
      <c r="E23" s="194"/>
      <c r="F23" s="195"/>
      <c r="G23" s="195"/>
      <c r="H23" s="193" t="s">
        <v>146</v>
      </c>
      <c r="I23" s="193" t="s">
        <v>146</v>
      </c>
      <c r="J23" s="195"/>
      <c r="L23" s="82" t="str">
        <f t="shared" si="0"/>
        <v>Muy BajaLeve</v>
      </c>
      <c r="M23" s="89" t="s">
        <v>34</v>
      </c>
      <c r="N23" s="62" t="s">
        <v>39</v>
      </c>
      <c r="O23" s="84" t="s">
        <v>54</v>
      </c>
    </row>
    <row r="24" spans="3:19" ht="18" x14ac:dyDescent="0.25">
      <c r="C24" s="192" t="s">
        <v>181</v>
      </c>
      <c r="D24" s="194"/>
      <c r="E24" s="194"/>
      <c r="F24" s="195"/>
      <c r="G24" s="195"/>
      <c r="H24" s="193" t="s">
        <v>174</v>
      </c>
      <c r="I24" s="193" t="s">
        <v>174</v>
      </c>
      <c r="J24" s="195"/>
      <c r="L24" s="82" t="str">
        <f t="shared" si="0"/>
        <v>Muy BajaMenor</v>
      </c>
      <c r="M24" s="89" t="s">
        <v>34</v>
      </c>
      <c r="N24" s="62" t="s">
        <v>40</v>
      </c>
      <c r="O24" s="84" t="s">
        <v>54</v>
      </c>
    </row>
    <row r="25" spans="3:19" ht="18" x14ac:dyDescent="0.25">
      <c r="C25" s="192" t="s">
        <v>182</v>
      </c>
      <c r="D25" s="194"/>
      <c r="E25" s="194"/>
      <c r="F25" s="194"/>
      <c r="G25" s="194"/>
      <c r="H25" s="193" t="s">
        <v>175</v>
      </c>
      <c r="I25" s="193" t="s">
        <v>175</v>
      </c>
      <c r="J25" s="194"/>
      <c r="L25" s="82" t="str">
        <f t="shared" si="0"/>
        <v>Muy BajaModerado</v>
      </c>
      <c r="M25" s="89" t="s">
        <v>34</v>
      </c>
      <c r="N25" s="62" t="s">
        <v>41</v>
      </c>
      <c r="O25" s="84" t="s">
        <v>41</v>
      </c>
    </row>
    <row r="26" spans="3:19" ht="36" x14ac:dyDescent="0.25">
      <c r="C26" s="192" t="s">
        <v>184</v>
      </c>
      <c r="D26" s="194"/>
      <c r="E26" s="194"/>
      <c r="F26" s="194"/>
      <c r="G26" s="194"/>
      <c r="H26" s="194"/>
      <c r="I26" s="194"/>
      <c r="J26" s="194"/>
      <c r="L26" s="82" t="str">
        <f t="shared" si="0"/>
        <v>Muy BajaMayor</v>
      </c>
      <c r="M26" s="89" t="s">
        <v>34</v>
      </c>
      <c r="N26" s="62" t="s">
        <v>42</v>
      </c>
      <c r="O26" s="84" t="s">
        <v>53</v>
      </c>
    </row>
    <row r="27" spans="3:19" ht="36.75" thickBot="1" x14ac:dyDescent="0.3">
      <c r="C27" s="192" t="s">
        <v>185</v>
      </c>
      <c r="D27" s="194"/>
      <c r="E27" t="s">
        <v>179</v>
      </c>
      <c r="F27" s="194"/>
      <c r="G27" s="194"/>
      <c r="H27" s="194"/>
      <c r="I27" s="194"/>
      <c r="J27" s="194"/>
      <c r="L27" s="90" t="str">
        <f t="shared" si="0"/>
        <v>Muy BajaCatastrofico</v>
      </c>
      <c r="M27" s="91" t="s">
        <v>34</v>
      </c>
      <c r="N27" s="66" t="s">
        <v>43</v>
      </c>
      <c r="O27" s="92" t="s">
        <v>58</v>
      </c>
    </row>
    <row r="28" spans="3:19" x14ac:dyDescent="0.25">
      <c r="E28" t="s">
        <v>145</v>
      </c>
    </row>
    <row r="30" spans="3:19" s="93" customFormat="1" x14ac:dyDescent="0.25">
      <c r="C30" s="95"/>
      <c r="L30" s="94"/>
      <c r="N30" s="95"/>
      <c r="O30" s="95"/>
      <c r="R30" s="95"/>
      <c r="S30" s="95"/>
    </row>
    <row r="33" spans="3:11" x14ac:dyDescent="0.25">
      <c r="C33" s="103" t="s">
        <v>68</v>
      </c>
    </row>
    <row r="35" spans="3:11" x14ac:dyDescent="0.25">
      <c r="C35" s="96" t="s">
        <v>61</v>
      </c>
      <c r="D35" s="96" t="s">
        <v>62</v>
      </c>
      <c r="E35" s="96" t="s">
        <v>70</v>
      </c>
      <c r="F35" s="96" t="s">
        <v>5</v>
      </c>
      <c r="G35" s="96"/>
      <c r="H35" s="96"/>
      <c r="I35" s="96"/>
      <c r="J35" s="96"/>
      <c r="K35" s="96" t="s">
        <v>71</v>
      </c>
    </row>
    <row r="36" spans="3:11" x14ac:dyDescent="0.25">
      <c r="C36" s="64" t="s">
        <v>72</v>
      </c>
      <c r="D36" s="64" t="s">
        <v>85</v>
      </c>
      <c r="E36" s="64" t="s">
        <v>75</v>
      </c>
      <c r="F36" s="64" t="s">
        <v>77</v>
      </c>
      <c r="G36" s="64"/>
      <c r="H36" s="64"/>
      <c r="I36" s="64"/>
      <c r="J36" s="64"/>
      <c r="K36" s="64" t="s">
        <v>80</v>
      </c>
    </row>
    <row r="37" spans="3:11" x14ac:dyDescent="0.25">
      <c r="C37" s="64" t="s">
        <v>73</v>
      </c>
      <c r="D37" s="64" t="s">
        <v>86</v>
      </c>
      <c r="E37" s="64" t="s">
        <v>76</v>
      </c>
      <c r="F37" s="64" t="s">
        <v>78</v>
      </c>
      <c r="G37" s="64"/>
      <c r="H37" s="64"/>
      <c r="I37" s="64"/>
      <c r="J37" s="64"/>
      <c r="K37" s="64" t="s">
        <v>79</v>
      </c>
    </row>
    <row r="38" spans="3:11" x14ac:dyDescent="0.25">
      <c r="C38" s="64" t="s">
        <v>74</v>
      </c>
      <c r="D38" s="51"/>
      <c r="E38" s="51"/>
      <c r="F38" s="51"/>
      <c r="G38" s="51"/>
      <c r="H38" s="51"/>
      <c r="I38" s="51"/>
      <c r="J38" s="51"/>
      <c r="K38" s="51"/>
    </row>
    <row r="51" spans="13:14" ht="25.5" customHeight="1" thickBot="1" x14ac:dyDescent="0.3">
      <c r="M51" s="179" t="s">
        <v>176</v>
      </c>
      <c r="N51" s="179" t="s">
        <v>173</v>
      </c>
    </row>
    <row r="52" spans="13:14" ht="32.25" thickBot="1" x14ac:dyDescent="0.3">
      <c r="M52" s="180" t="s">
        <v>143</v>
      </c>
      <c r="N52" s="181" t="s">
        <v>11</v>
      </c>
    </row>
    <row r="53" spans="13:14" ht="21" customHeight="1" thickBot="1" x14ac:dyDescent="0.3">
      <c r="M53" s="180" t="s">
        <v>26</v>
      </c>
      <c r="N53" s="181" t="s">
        <v>145</v>
      </c>
    </row>
    <row r="54" spans="13:14" ht="21" customHeight="1" thickBot="1" x14ac:dyDescent="0.3">
      <c r="M54" s="180" t="s">
        <v>27</v>
      </c>
      <c r="N54" s="181" t="s">
        <v>146</v>
      </c>
    </row>
    <row r="55" spans="13:14" ht="21" customHeight="1" thickBot="1" x14ac:dyDescent="0.3">
      <c r="M55" s="180" t="s">
        <v>28</v>
      </c>
      <c r="N55" s="181" t="s">
        <v>174</v>
      </c>
    </row>
    <row r="56" spans="13:14" x14ac:dyDescent="0.25">
      <c r="M56" s="182" t="s">
        <v>29</v>
      </c>
      <c r="N56" s="183" t="s">
        <v>11</v>
      </c>
    </row>
    <row r="57" spans="13:14" x14ac:dyDescent="0.25">
      <c r="M57" s="184"/>
      <c r="N57" s="185" t="s">
        <v>145</v>
      </c>
    </row>
    <row r="58" spans="13:14" x14ac:dyDescent="0.25">
      <c r="M58" s="184"/>
      <c r="N58" s="185" t="s">
        <v>146</v>
      </c>
    </row>
    <row r="59" spans="13:14" x14ac:dyDescent="0.25">
      <c r="M59" s="184"/>
      <c r="N59" s="185" t="s">
        <v>174</v>
      </c>
    </row>
    <row r="60" spans="13:14" x14ac:dyDescent="0.25">
      <c r="M60" s="184"/>
      <c r="N60" s="185" t="s">
        <v>175</v>
      </c>
    </row>
    <row r="61" spans="13:14" ht="16.5" thickBot="1" x14ac:dyDescent="0.3">
      <c r="M61" s="186"/>
      <c r="N61" s="187"/>
    </row>
    <row r="62" spans="13:14" ht="31.5" x14ac:dyDescent="0.25">
      <c r="M62" s="182" t="s">
        <v>30</v>
      </c>
      <c r="N62" s="183" t="s">
        <v>11</v>
      </c>
    </row>
    <row r="63" spans="13:14" x14ac:dyDescent="0.25">
      <c r="M63" s="184"/>
      <c r="N63" s="185" t="s">
        <v>145</v>
      </c>
    </row>
    <row r="64" spans="13:14" x14ac:dyDescent="0.25">
      <c r="M64" s="184"/>
      <c r="N64" s="185" t="s">
        <v>146</v>
      </c>
    </row>
    <row r="65" spans="3:19" x14ac:dyDescent="0.25">
      <c r="M65" s="184"/>
      <c r="N65" s="185" t="s">
        <v>174</v>
      </c>
    </row>
    <row r="66" spans="3:19" x14ac:dyDescent="0.25">
      <c r="M66" s="184"/>
      <c r="N66" s="185" t="s">
        <v>175</v>
      </c>
    </row>
    <row r="67" spans="3:19" ht="16.5" thickBot="1" x14ac:dyDescent="0.3">
      <c r="M67" s="186"/>
      <c r="N67" s="187"/>
    </row>
    <row r="68" spans="3:19" ht="31.5" x14ac:dyDescent="0.25">
      <c r="M68" s="182" t="s">
        <v>31</v>
      </c>
      <c r="N68" s="183" t="s">
        <v>175</v>
      </c>
    </row>
    <row r="69" spans="3:19" x14ac:dyDescent="0.25">
      <c r="C69" s="70" t="s">
        <v>81</v>
      </c>
      <c r="D69" s="70" t="s">
        <v>82</v>
      </c>
      <c r="E69" s="739" t="s">
        <v>91</v>
      </c>
      <c r="F69" s="739"/>
      <c r="G69" s="189"/>
      <c r="H69" s="189"/>
      <c r="I69" s="189"/>
      <c r="J69" s="189"/>
      <c r="M69" s="184"/>
      <c r="N69" s="185" t="s">
        <v>145</v>
      </c>
    </row>
    <row r="70" spans="3:19" ht="35.25" customHeight="1" thickBot="1" x14ac:dyDescent="0.3">
      <c r="C70" s="64" t="s">
        <v>58</v>
      </c>
      <c r="D70" s="71" t="s">
        <v>109</v>
      </c>
      <c r="E70" s="738" t="s">
        <v>110</v>
      </c>
      <c r="F70" s="738"/>
      <c r="G70" s="53"/>
      <c r="H70" s="53"/>
      <c r="I70" s="53"/>
      <c r="J70" s="53"/>
      <c r="M70" s="153"/>
      <c r="N70" s="187"/>
    </row>
    <row r="71" spans="3:19" ht="35.25" customHeight="1" x14ac:dyDescent="0.25">
      <c r="C71" s="72" t="s">
        <v>114</v>
      </c>
      <c r="D71" s="71" t="s">
        <v>111</v>
      </c>
      <c r="E71" s="738" t="s">
        <v>113</v>
      </c>
      <c r="F71" s="738"/>
      <c r="G71" s="53"/>
      <c r="H71" s="53"/>
      <c r="I71" s="53"/>
      <c r="J71" s="53"/>
      <c r="N71" s="50"/>
    </row>
    <row r="72" spans="3:19" ht="35.25" customHeight="1" x14ac:dyDescent="0.25">
      <c r="C72" s="64" t="s">
        <v>54</v>
      </c>
      <c r="D72" s="71" t="s">
        <v>112</v>
      </c>
      <c r="E72" s="738" t="s">
        <v>115</v>
      </c>
      <c r="F72" s="738"/>
      <c r="G72" s="53"/>
      <c r="H72" s="53"/>
      <c r="I72" s="53"/>
      <c r="J72" s="53"/>
    </row>
    <row r="73" spans="3:19" ht="35.25" customHeight="1" x14ac:dyDescent="0.25"/>
    <row r="74" spans="3:19" s="223" customFormat="1" x14ac:dyDescent="0.25">
      <c r="C74" s="222"/>
      <c r="L74" s="224"/>
      <c r="N74" s="222"/>
      <c r="O74" s="222"/>
      <c r="R74" s="222"/>
      <c r="S74" s="222"/>
    </row>
    <row r="76" spans="3:19" x14ac:dyDescent="0.25">
      <c r="C76" s="737" t="s">
        <v>203</v>
      </c>
      <c r="D76" s="737"/>
      <c r="E76" s="737"/>
      <c r="F76" s="737"/>
    </row>
    <row r="77" spans="3:19" x14ac:dyDescent="0.25">
      <c r="C77" s="737"/>
      <c r="D77" s="737"/>
      <c r="E77" s="737"/>
      <c r="F77" s="737"/>
    </row>
    <row r="81" spans="2:9" ht="16.5" thickBot="1" x14ac:dyDescent="0.3">
      <c r="B81" s="168"/>
      <c r="C81" s="227" t="s">
        <v>268</v>
      </c>
      <c r="D81" s="228" t="s">
        <v>286</v>
      </c>
      <c r="E81" s="228" t="s">
        <v>287</v>
      </c>
      <c r="F81" s="228" t="s">
        <v>291</v>
      </c>
      <c r="G81" s="228" t="s">
        <v>288</v>
      </c>
      <c r="H81" s="228" t="s">
        <v>289</v>
      </c>
      <c r="I81" s="226" t="s">
        <v>290</v>
      </c>
    </row>
    <row r="82" spans="2:9" ht="47.25" x14ac:dyDescent="0.25">
      <c r="B82" s="247" t="s">
        <v>275</v>
      </c>
      <c r="C82" s="246" t="s">
        <v>269</v>
      </c>
      <c r="D82" s="64" t="s">
        <v>271</v>
      </c>
      <c r="E82" s="64" t="s">
        <v>273</v>
      </c>
      <c r="F82" s="64" t="s">
        <v>277</v>
      </c>
      <c r="G82" s="64" t="s">
        <v>279</v>
      </c>
      <c r="H82" s="229" t="s">
        <v>281</v>
      </c>
      <c r="I82" s="64" t="s">
        <v>283</v>
      </c>
    </row>
    <row r="83" spans="2:9" ht="48" thickBot="1" x14ac:dyDescent="0.3">
      <c r="B83" s="248" t="s">
        <v>276</v>
      </c>
      <c r="C83" s="246" t="s">
        <v>270</v>
      </c>
      <c r="D83" s="64" t="s">
        <v>272</v>
      </c>
      <c r="E83" s="64" t="s">
        <v>274</v>
      </c>
      <c r="F83" s="64" t="s">
        <v>278</v>
      </c>
      <c r="G83" s="64" t="s">
        <v>280</v>
      </c>
      <c r="H83" s="229" t="s">
        <v>282</v>
      </c>
      <c r="I83" s="64" t="s">
        <v>284</v>
      </c>
    </row>
    <row r="84" spans="2:9" x14ac:dyDescent="0.25">
      <c r="E84" s="225"/>
      <c r="F84" s="225"/>
      <c r="G84" s="225"/>
      <c r="H84" s="225"/>
      <c r="I84" s="64" t="s">
        <v>285</v>
      </c>
    </row>
  </sheetData>
  <mergeCells count="6">
    <mergeCell ref="C76:F77"/>
    <mergeCell ref="F12:F13"/>
    <mergeCell ref="E70:F70"/>
    <mergeCell ref="E71:F71"/>
    <mergeCell ref="E72:F72"/>
    <mergeCell ref="E69:F69"/>
  </mergeCells>
  <dataValidations count="2">
    <dataValidation type="list" allowBlank="1" showInputMessage="1" showErrorMessage="1" sqref="E27">
      <formula1>$C$21:$C$27</formula1>
    </dataValidation>
    <dataValidation type="list" allowBlank="1" showInputMessage="1" showErrorMessage="1" sqref="E28">
      <formula1>INDIRECT($E$27)</formula1>
    </dataValidation>
  </dataValidations>
  <pageMargins left="0.7" right="0.7" top="0.75" bottom="0.75" header="0.3" footer="0.3"/>
  <pageSetup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opLeftCell="B1" workbookViewId="0">
      <selection activeCell="F7" sqref="F7:F10"/>
    </sheetView>
  </sheetViews>
  <sheetFormatPr baseColWidth="10" defaultRowHeight="15" x14ac:dyDescent="0.25"/>
  <cols>
    <col min="1" max="1" width="17.85546875" customWidth="1"/>
    <col min="2" max="2" width="24.28515625" customWidth="1"/>
    <col min="3" max="3" width="11.42578125" style="234"/>
    <col min="6" max="7" width="16.42578125" customWidth="1"/>
  </cols>
  <sheetData>
    <row r="1" spans="1:7" x14ac:dyDescent="0.25">
      <c r="A1" s="240" t="s">
        <v>298</v>
      </c>
      <c r="B1" s="240" t="s">
        <v>297</v>
      </c>
      <c r="C1" s="240" t="s">
        <v>296</v>
      </c>
    </row>
    <row r="2" spans="1:7" ht="15.75" x14ac:dyDescent="0.25">
      <c r="A2" s="741" t="s">
        <v>117</v>
      </c>
      <c r="B2" s="64" t="s">
        <v>269</v>
      </c>
      <c r="C2" s="236">
        <v>15</v>
      </c>
      <c r="F2" s="242" t="s">
        <v>117</v>
      </c>
      <c r="G2" s="242" t="s">
        <v>63</v>
      </c>
    </row>
    <row r="3" spans="1:7" ht="15.75" x14ac:dyDescent="0.25">
      <c r="A3" s="741"/>
      <c r="B3" s="64" t="s">
        <v>270</v>
      </c>
      <c r="C3" s="236">
        <v>0</v>
      </c>
      <c r="F3" s="64" t="s">
        <v>303</v>
      </c>
      <c r="G3" s="241" t="s">
        <v>305</v>
      </c>
    </row>
    <row r="4" spans="1:7" ht="15.75" x14ac:dyDescent="0.25">
      <c r="A4" s="741"/>
      <c r="B4" s="232" t="s">
        <v>271</v>
      </c>
      <c r="C4" s="239">
        <v>15</v>
      </c>
      <c r="F4" s="64" t="s">
        <v>304</v>
      </c>
      <c r="G4" s="241" t="s">
        <v>41</v>
      </c>
    </row>
    <row r="5" spans="1:7" ht="15.75" x14ac:dyDescent="0.25">
      <c r="A5" s="741"/>
      <c r="B5" s="232" t="s">
        <v>272</v>
      </c>
      <c r="C5" s="239">
        <v>0</v>
      </c>
      <c r="F5" s="64" t="s">
        <v>76</v>
      </c>
      <c r="G5" s="241" t="s">
        <v>306</v>
      </c>
    </row>
    <row r="6" spans="1:7" ht="15.75" x14ac:dyDescent="0.25">
      <c r="A6" s="740" t="s">
        <v>292</v>
      </c>
      <c r="B6" s="64" t="s">
        <v>273</v>
      </c>
      <c r="C6" s="236">
        <v>15</v>
      </c>
    </row>
    <row r="7" spans="1:7" ht="31.5" x14ac:dyDescent="0.25">
      <c r="A7" s="740"/>
      <c r="B7" s="64" t="s">
        <v>274</v>
      </c>
      <c r="C7" s="236">
        <v>0</v>
      </c>
      <c r="F7" s="74" t="s">
        <v>83</v>
      </c>
      <c r="G7" s="267" t="s">
        <v>315</v>
      </c>
    </row>
    <row r="8" spans="1:7" ht="15.75" x14ac:dyDescent="0.25">
      <c r="A8" s="741" t="s">
        <v>299</v>
      </c>
      <c r="B8" s="233" t="s">
        <v>277</v>
      </c>
      <c r="C8" s="238">
        <v>15</v>
      </c>
      <c r="F8" s="64" t="s">
        <v>275</v>
      </c>
      <c r="G8" s="64" t="s">
        <v>275</v>
      </c>
    </row>
    <row r="9" spans="1:7" ht="15.75" x14ac:dyDescent="0.25">
      <c r="A9" s="741"/>
      <c r="B9" s="233" t="s">
        <v>278</v>
      </c>
      <c r="C9" s="238">
        <v>10</v>
      </c>
      <c r="F9" s="64" t="s">
        <v>311</v>
      </c>
      <c r="G9" s="62" t="s">
        <v>312</v>
      </c>
    </row>
    <row r="10" spans="1:7" ht="15.75" x14ac:dyDescent="0.25">
      <c r="A10" s="741"/>
      <c r="B10" s="233" t="s">
        <v>293</v>
      </c>
      <c r="C10" s="238">
        <v>0</v>
      </c>
      <c r="F10" s="64" t="s">
        <v>312</v>
      </c>
    </row>
    <row r="11" spans="1:7" ht="23.25" customHeight="1" x14ac:dyDescent="0.25">
      <c r="A11" s="742" t="s">
        <v>300</v>
      </c>
      <c r="B11" s="64" t="s">
        <v>279</v>
      </c>
      <c r="C11" s="236">
        <v>15</v>
      </c>
    </row>
    <row r="12" spans="1:7" ht="23.25" customHeight="1" x14ac:dyDescent="0.25">
      <c r="A12" s="742"/>
      <c r="B12" s="64" t="s">
        <v>280</v>
      </c>
      <c r="C12" s="236">
        <v>0</v>
      </c>
    </row>
    <row r="13" spans="1:7" ht="31.5" x14ac:dyDescent="0.25">
      <c r="A13" s="740" t="s">
        <v>294</v>
      </c>
      <c r="B13" s="235" t="s">
        <v>281</v>
      </c>
      <c r="C13" s="237">
        <v>15</v>
      </c>
    </row>
    <row r="14" spans="1:7" ht="31.5" x14ac:dyDescent="0.25">
      <c r="A14" s="740"/>
      <c r="B14" s="235" t="s">
        <v>282</v>
      </c>
      <c r="C14" s="237">
        <v>0</v>
      </c>
    </row>
    <row r="15" spans="1:7" ht="15.75" x14ac:dyDescent="0.25">
      <c r="A15" s="740" t="s">
        <v>295</v>
      </c>
      <c r="B15" s="64" t="s">
        <v>283</v>
      </c>
      <c r="C15" s="236">
        <v>10</v>
      </c>
    </row>
    <row r="16" spans="1:7" ht="15.75" x14ac:dyDescent="0.25">
      <c r="A16" s="740"/>
      <c r="B16" s="64" t="s">
        <v>284</v>
      </c>
      <c r="C16" s="236">
        <v>5</v>
      </c>
    </row>
    <row r="17" spans="1:7" ht="15.75" x14ac:dyDescent="0.25">
      <c r="A17" s="740"/>
      <c r="B17" s="64" t="s">
        <v>285</v>
      </c>
      <c r="C17" s="236">
        <v>0</v>
      </c>
    </row>
    <row r="21" spans="1:7" x14ac:dyDescent="0.25">
      <c r="C21" s="243" t="s">
        <v>309</v>
      </c>
      <c r="D21" s="244" t="s">
        <v>308</v>
      </c>
      <c r="E21" s="244" t="s">
        <v>56</v>
      </c>
      <c r="F21" s="244" t="s">
        <v>307</v>
      </c>
      <c r="G21" s="244" t="s">
        <v>255</v>
      </c>
    </row>
    <row r="22" spans="1:7" x14ac:dyDescent="0.25">
      <c r="C22" s="236" t="s">
        <v>305</v>
      </c>
      <c r="D22" s="236" t="s">
        <v>305</v>
      </c>
      <c r="E22" s="236" t="str">
        <f>CONCATENATE(C22,D22)</f>
        <v>FuerteFuerte</v>
      </c>
      <c r="F22" s="245" t="s">
        <v>305</v>
      </c>
      <c r="G22" s="236" t="s">
        <v>76</v>
      </c>
    </row>
    <row r="23" spans="1:7" x14ac:dyDescent="0.25">
      <c r="C23" s="236" t="s">
        <v>305</v>
      </c>
      <c r="D23" s="236" t="s">
        <v>41</v>
      </c>
      <c r="E23" s="236" t="str">
        <f t="shared" ref="E23:E30" si="0">CONCATENATE(C23,D23)</f>
        <v>FuerteModerado</v>
      </c>
      <c r="F23" s="245" t="s">
        <v>41</v>
      </c>
      <c r="G23" s="236" t="s">
        <v>75</v>
      </c>
    </row>
    <row r="24" spans="1:7" x14ac:dyDescent="0.25">
      <c r="C24" s="236" t="s">
        <v>305</v>
      </c>
      <c r="D24" s="236" t="s">
        <v>306</v>
      </c>
      <c r="E24" s="236" t="str">
        <f t="shared" si="0"/>
        <v>FuerteDébil</v>
      </c>
      <c r="F24" s="245" t="s">
        <v>306</v>
      </c>
      <c r="G24" s="236" t="s">
        <v>75</v>
      </c>
    </row>
    <row r="25" spans="1:7" x14ac:dyDescent="0.25">
      <c r="C25" s="236" t="s">
        <v>41</v>
      </c>
      <c r="D25" s="236" t="s">
        <v>305</v>
      </c>
      <c r="E25" s="236" t="str">
        <f t="shared" si="0"/>
        <v>ModeradoFuerte</v>
      </c>
      <c r="F25" s="245" t="s">
        <v>305</v>
      </c>
      <c r="G25" s="236" t="s">
        <v>75</v>
      </c>
    </row>
    <row r="26" spans="1:7" x14ac:dyDescent="0.25">
      <c r="C26" s="236" t="s">
        <v>41</v>
      </c>
      <c r="D26" s="236" t="s">
        <v>41</v>
      </c>
      <c r="E26" s="236" t="str">
        <f t="shared" si="0"/>
        <v>ModeradoModerado</v>
      </c>
      <c r="F26" s="245" t="s">
        <v>41</v>
      </c>
      <c r="G26" s="236" t="s">
        <v>75</v>
      </c>
    </row>
    <row r="27" spans="1:7" x14ac:dyDescent="0.25">
      <c r="C27" s="236" t="s">
        <v>41</v>
      </c>
      <c r="D27" s="236" t="s">
        <v>306</v>
      </c>
      <c r="E27" s="236" t="str">
        <f t="shared" si="0"/>
        <v>ModeradoDébil</v>
      </c>
      <c r="F27" s="245" t="s">
        <v>306</v>
      </c>
      <c r="G27" s="236" t="s">
        <v>75</v>
      </c>
    </row>
    <row r="28" spans="1:7" x14ac:dyDescent="0.25">
      <c r="C28" s="236" t="s">
        <v>306</v>
      </c>
      <c r="D28" s="236" t="s">
        <v>305</v>
      </c>
      <c r="E28" s="236" t="str">
        <f t="shared" si="0"/>
        <v>DébilFuerte</v>
      </c>
      <c r="F28" s="245" t="s">
        <v>305</v>
      </c>
      <c r="G28" s="236" t="s">
        <v>75</v>
      </c>
    </row>
    <row r="29" spans="1:7" x14ac:dyDescent="0.25">
      <c r="C29" s="236" t="s">
        <v>306</v>
      </c>
      <c r="D29" s="236" t="s">
        <v>41</v>
      </c>
      <c r="E29" s="236" t="str">
        <f t="shared" si="0"/>
        <v>DébilModerado</v>
      </c>
      <c r="F29" s="245" t="s">
        <v>41</v>
      </c>
      <c r="G29" s="236" t="s">
        <v>75</v>
      </c>
    </row>
    <row r="30" spans="1:7" x14ac:dyDescent="0.25">
      <c r="C30" s="236" t="s">
        <v>306</v>
      </c>
      <c r="D30" s="236" t="s">
        <v>306</v>
      </c>
      <c r="E30" s="236" t="str">
        <f t="shared" si="0"/>
        <v>DébilDébil</v>
      </c>
      <c r="F30" s="245" t="s">
        <v>306</v>
      </c>
      <c r="G30" s="236" t="s">
        <v>75</v>
      </c>
    </row>
  </sheetData>
  <mergeCells count="6">
    <mergeCell ref="A15:A17"/>
    <mergeCell ref="A2:A5"/>
    <mergeCell ref="A6:A7"/>
    <mergeCell ref="A8:A10"/>
    <mergeCell ref="A11:A12"/>
    <mergeCell ref="A13:A14"/>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B1:AF33"/>
  <sheetViews>
    <sheetView zoomScale="55" zoomScaleNormal="55" workbookViewId="0">
      <selection activeCell="E5" sqref="E5"/>
    </sheetView>
  </sheetViews>
  <sheetFormatPr baseColWidth="10" defaultColWidth="11.42578125" defaultRowHeight="15.75" x14ac:dyDescent="0.25"/>
  <cols>
    <col min="1" max="1" width="11.42578125" style="169"/>
    <col min="2" max="2" width="12.140625" style="11" customWidth="1"/>
    <col min="3" max="3" width="14.85546875" style="52" customWidth="1"/>
    <col min="4" max="4" width="11.5703125" style="51" customWidth="1"/>
    <col min="5" max="5" width="55.85546875" style="51" customWidth="1"/>
    <col min="6" max="6" width="18.140625" style="53" customWidth="1"/>
    <col min="7" max="7" width="14.85546875" style="53" customWidth="1"/>
    <col min="8" max="8" width="17.28515625" style="53" customWidth="1"/>
    <col min="9" max="9" width="18.7109375" style="53" hidden="1" customWidth="1"/>
    <col min="10" max="10" width="18" style="53" customWidth="1"/>
    <col min="11" max="11" width="22.28515625" style="53" customWidth="1"/>
    <col min="12" max="12" width="16.85546875" style="53" customWidth="1"/>
    <col min="13" max="13" width="14.85546875" style="53" customWidth="1"/>
    <col min="14" max="14" width="12.7109375" style="51" customWidth="1"/>
    <col min="15" max="15" width="60.7109375" style="51" customWidth="1"/>
    <col min="16" max="16" width="18.5703125" style="53" customWidth="1"/>
    <col min="17" max="17" width="14.140625" style="50" customWidth="1"/>
    <col min="18" max="18" width="23" style="50" customWidth="1"/>
    <col min="19" max="19" width="12.85546875" style="53" hidden="1" customWidth="1"/>
    <col min="20" max="20" width="18" style="50" customWidth="1"/>
    <col min="21" max="21" width="24.140625" style="50" customWidth="1"/>
    <col min="22" max="22" width="17" style="50" customWidth="1"/>
    <col min="23" max="23" width="20" style="50" customWidth="1"/>
    <col min="24" max="24" width="11.42578125" style="169"/>
    <col min="25" max="25" width="84.5703125" style="169" bestFit="1" customWidth="1"/>
    <col min="26" max="16384" width="11.42578125" style="169"/>
  </cols>
  <sheetData>
    <row r="1" spans="2:32" ht="16.5" thickBot="1" x14ac:dyDescent="0.3">
      <c r="W1" s="169"/>
    </row>
    <row r="2" spans="2:32" ht="29.25" customHeight="1" x14ac:dyDescent="0.25">
      <c r="B2" s="436"/>
      <c r="C2" s="439"/>
      <c r="D2" s="428"/>
      <c r="E2" s="586" t="s">
        <v>509</v>
      </c>
      <c r="F2" s="587"/>
      <c r="G2" s="587"/>
      <c r="H2" s="587"/>
      <c r="I2" s="587"/>
      <c r="J2" s="587"/>
      <c r="K2" s="587"/>
      <c r="L2" s="587"/>
      <c r="M2" s="587"/>
      <c r="N2" s="587"/>
      <c r="O2" s="587"/>
      <c r="P2" s="587"/>
      <c r="Q2" s="587"/>
      <c r="R2" s="587"/>
      <c r="S2" s="587"/>
      <c r="T2" s="587"/>
      <c r="U2" s="588"/>
      <c r="V2" s="433" t="s">
        <v>151</v>
      </c>
      <c r="W2" s="457" t="s">
        <v>513</v>
      </c>
    </row>
    <row r="3" spans="2:32" ht="29.25" customHeight="1" x14ac:dyDescent="0.25">
      <c r="B3" s="437"/>
      <c r="C3" s="429"/>
      <c r="D3" s="430"/>
      <c r="E3" s="589"/>
      <c r="F3" s="590"/>
      <c r="G3" s="590"/>
      <c r="H3" s="590"/>
      <c r="I3" s="590"/>
      <c r="J3" s="590"/>
      <c r="K3" s="590"/>
      <c r="L3" s="590"/>
      <c r="M3" s="590"/>
      <c r="N3" s="590"/>
      <c r="O3" s="590"/>
      <c r="P3" s="590"/>
      <c r="Q3" s="590"/>
      <c r="R3" s="590"/>
      <c r="S3" s="590"/>
      <c r="T3" s="590"/>
      <c r="U3" s="591"/>
      <c r="V3" s="434" t="s">
        <v>152</v>
      </c>
      <c r="W3" s="426">
        <v>4</v>
      </c>
    </row>
    <row r="4" spans="2:32" ht="29.25" customHeight="1" thickBot="1" x14ac:dyDescent="0.3">
      <c r="B4" s="438"/>
      <c r="C4" s="431"/>
      <c r="D4" s="432"/>
      <c r="E4" s="592"/>
      <c r="F4" s="593"/>
      <c r="G4" s="593"/>
      <c r="H4" s="593"/>
      <c r="I4" s="593"/>
      <c r="J4" s="593"/>
      <c r="K4" s="593"/>
      <c r="L4" s="593"/>
      <c r="M4" s="593"/>
      <c r="N4" s="593"/>
      <c r="O4" s="593"/>
      <c r="P4" s="593"/>
      <c r="Q4" s="593"/>
      <c r="R4" s="593"/>
      <c r="S4" s="593"/>
      <c r="T4" s="593"/>
      <c r="U4" s="594"/>
      <c r="V4" s="435" t="s">
        <v>153</v>
      </c>
      <c r="W4" s="427">
        <v>44719</v>
      </c>
    </row>
    <row r="5" spans="2:32" ht="29.25" customHeight="1" x14ac:dyDescent="0.25">
      <c r="C5" s="170"/>
      <c r="D5" s="170"/>
      <c r="E5" s="170"/>
      <c r="F5" s="171"/>
      <c r="G5" s="170"/>
      <c r="H5" s="585" t="s">
        <v>510</v>
      </c>
      <c r="I5" s="585"/>
      <c r="J5" s="585"/>
      <c r="K5" s="585"/>
      <c r="L5" s="585"/>
      <c r="M5" s="585"/>
      <c r="N5" s="585"/>
      <c r="O5" s="585"/>
      <c r="P5" s="171"/>
      <c r="Q5" s="170"/>
      <c r="R5" s="170"/>
      <c r="S5" s="170"/>
      <c r="T5" s="170"/>
      <c r="U5" s="170"/>
      <c r="V5" s="170"/>
      <c r="W5" s="170"/>
    </row>
    <row r="7" spans="2:32" ht="16.5" thickBot="1" x14ac:dyDescent="0.3">
      <c r="C7" s="597"/>
      <c r="D7" s="597"/>
      <c r="E7" s="597"/>
      <c r="F7" s="597"/>
      <c r="G7" s="597"/>
      <c r="H7" s="597"/>
      <c r="I7" s="597"/>
      <c r="J7" s="597"/>
      <c r="K7" s="597"/>
      <c r="L7" s="597"/>
      <c r="M7" s="597"/>
      <c r="N7" s="597"/>
      <c r="O7" s="597"/>
      <c r="P7" s="597"/>
      <c r="Q7" s="597"/>
      <c r="R7" s="597"/>
      <c r="S7" s="597"/>
      <c r="T7" s="597"/>
      <c r="U7" s="597"/>
      <c r="V7" s="597"/>
      <c r="W7" s="597"/>
    </row>
    <row r="8" spans="2:32" ht="30" customHeight="1" thickBot="1" x14ac:dyDescent="0.3">
      <c r="B8" s="595" t="s">
        <v>96</v>
      </c>
      <c r="C8" s="610" t="s">
        <v>65</v>
      </c>
      <c r="D8" s="612" t="s">
        <v>60</v>
      </c>
      <c r="E8" s="614" t="s">
        <v>88</v>
      </c>
      <c r="F8" s="606" t="s">
        <v>83</v>
      </c>
      <c r="G8" s="598" t="s">
        <v>66</v>
      </c>
      <c r="H8" s="599"/>
      <c r="I8" s="599"/>
      <c r="J8" s="600"/>
      <c r="K8" s="601" t="s">
        <v>67</v>
      </c>
      <c r="L8" s="599"/>
      <c r="M8" s="602"/>
      <c r="N8" s="616" t="s">
        <v>60</v>
      </c>
      <c r="O8" s="618" t="s">
        <v>88</v>
      </c>
      <c r="P8" s="608" t="s">
        <v>83</v>
      </c>
      <c r="Q8" s="603" t="s">
        <v>66</v>
      </c>
      <c r="R8" s="604"/>
      <c r="S8" s="604"/>
      <c r="T8" s="604"/>
      <c r="U8" s="604" t="s">
        <v>67</v>
      </c>
      <c r="V8" s="604"/>
      <c r="W8" s="605"/>
    </row>
    <row r="9" spans="2:32" ht="33" customHeight="1" thickBot="1" x14ac:dyDescent="0.3">
      <c r="B9" s="596"/>
      <c r="C9" s="611"/>
      <c r="D9" s="613"/>
      <c r="E9" s="615"/>
      <c r="F9" s="607"/>
      <c r="G9" s="113" t="s">
        <v>61</v>
      </c>
      <c r="H9" s="351" t="s">
        <v>62</v>
      </c>
      <c r="I9" s="351"/>
      <c r="J9" s="351" t="s">
        <v>63</v>
      </c>
      <c r="K9" s="351" t="s">
        <v>69</v>
      </c>
      <c r="L9" s="351" t="s">
        <v>5</v>
      </c>
      <c r="M9" s="114" t="s">
        <v>64</v>
      </c>
      <c r="N9" s="617"/>
      <c r="O9" s="619"/>
      <c r="P9" s="609"/>
      <c r="Q9" s="116" t="s">
        <v>61</v>
      </c>
      <c r="R9" s="115" t="s">
        <v>62</v>
      </c>
      <c r="S9" s="115"/>
      <c r="T9" s="115" t="s">
        <v>63</v>
      </c>
      <c r="U9" s="115" t="s">
        <v>69</v>
      </c>
      <c r="V9" s="115" t="s">
        <v>5</v>
      </c>
      <c r="W9" s="117" t="s">
        <v>64</v>
      </c>
    </row>
    <row r="10" spans="2:32" ht="67.5" customHeight="1" x14ac:dyDescent="0.25">
      <c r="B10" s="196" t="str">
        <f>+'Matriz de Riesgos'!B9</f>
        <v>R1</v>
      </c>
      <c r="C10" s="353">
        <v>1</v>
      </c>
      <c r="D10" s="57">
        <f>IF(AND(C10&gt;0,C10&lt;3),1,"")</f>
        <v>1</v>
      </c>
      <c r="E10" s="58" t="s">
        <v>354</v>
      </c>
      <c r="F10" s="59" t="s">
        <v>50</v>
      </c>
      <c r="G10" s="59" t="s">
        <v>72</v>
      </c>
      <c r="H10" s="361" t="s">
        <v>85</v>
      </c>
      <c r="I10" s="59" t="str">
        <f t="shared" ref="I10:I14" si="0">CONCATENATE(G10,H10)</f>
        <v>Control PreventivoManual</v>
      </c>
      <c r="J10" s="60">
        <f>VLOOKUP(I10,Atributos!$B$4:$E$9,4,FALSE)</f>
        <v>0.4</v>
      </c>
      <c r="K10" s="59" t="s">
        <v>75</v>
      </c>
      <c r="L10" s="59" t="s">
        <v>77</v>
      </c>
      <c r="M10" s="59" t="s">
        <v>80</v>
      </c>
      <c r="N10" s="57" t="str">
        <f>IF(C10&gt;1,2,"0")</f>
        <v>0</v>
      </c>
      <c r="O10" s="58"/>
      <c r="P10" s="59"/>
      <c r="Q10" s="59"/>
      <c r="R10" s="59"/>
      <c r="S10" s="59"/>
      <c r="T10" s="60"/>
      <c r="U10" s="59"/>
      <c r="V10" s="59"/>
      <c r="W10" s="68"/>
    </row>
    <row r="11" spans="2:32" ht="150.75" customHeight="1" thickBot="1" x14ac:dyDescent="0.3">
      <c r="B11" s="355" t="str">
        <f>+'Matriz de Riesgos'!B10</f>
        <v>R2</v>
      </c>
      <c r="C11" s="354">
        <v>1</v>
      </c>
      <c r="D11" s="64">
        <f>IF(AND(C11&gt;0,C11&lt;3),1,"")</f>
        <v>1</v>
      </c>
      <c r="E11" s="105" t="s">
        <v>535</v>
      </c>
      <c r="F11" s="72" t="s">
        <v>150</v>
      </c>
      <c r="G11" s="72" t="s">
        <v>73</v>
      </c>
      <c r="H11" s="72" t="s">
        <v>85</v>
      </c>
      <c r="I11" s="72" t="str">
        <f t="shared" si="0"/>
        <v>Control DetectivoManual</v>
      </c>
      <c r="J11" s="65">
        <f>VLOOKUP(I11,Atributos!$B$4:$E$9,4,FALSE)</f>
        <v>0.3</v>
      </c>
      <c r="K11" s="72" t="s">
        <v>75</v>
      </c>
      <c r="L11" s="72" t="s">
        <v>77</v>
      </c>
      <c r="M11" s="72" t="s">
        <v>80</v>
      </c>
      <c r="N11" s="64" t="str">
        <f t="shared" ref="N11:N14" si="1">IF(C11&gt;1,2,"0")</f>
        <v>0</v>
      </c>
      <c r="O11" s="72" t="s">
        <v>534</v>
      </c>
      <c r="P11" s="72" t="s">
        <v>150</v>
      </c>
      <c r="Q11" s="72" t="s">
        <v>73</v>
      </c>
      <c r="R11" s="72" t="s">
        <v>86</v>
      </c>
      <c r="S11" s="72" t="str">
        <f t="shared" ref="S11:S14" si="2">CONCATENATE(Q11,R11)</f>
        <v>Control DetectivoAutomático</v>
      </c>
      <c r="T11" s="65">
        <f>VLOOKUP(S11,Atributos!$B$4:$E$9,4,FALSE)</f>
        <v>0.4</v>
      </c>
      <c r="U11" s="72" t="s">
        <v>75</v>
      </c>
      <c r="V11" s="72" t="s">
        <v>78</v>
      </c>
      <c r="W11" s="106" t="s">
        <v>80</v>
      </c>
    </row>
    <row r="12" spans="2:32" ht="47.25" x14ac:dyDescent="0.25">
      <c r="B12" s="196" t="str">
        <f>+'Matriz de Riesgos'!B11</f>
        <v>R3</v>
      </c>
      <c r="C12" s="354">
        <v>1</v>
      </c>
      <c r="D12" s="64">
        <f>IF(AND(C12&gt;0,C12&lt;3),1,"")</f>
        <v>1</v>
      </c>
      <c r="E12" s="105" t="s">
        <v>355</v>
      </c>
      <c r="F12" s="72" t="s">
        <v>150</v>
      </c>
      <c r="G12" s="72" t="s">
        <v>73</v>
      </c>
      <c r="H12" s="72" t="s">
        <v>85</v>
      </c>
      <c r="I12" s="72" t="str">
        <f t="shared" si="0"/>
        <v>Control DetectivoManual</v>
      </c>
      <c r="J12" s="65">
        <f>VLOOKUP(I12,Atributos!$B$4:$E$9,4,FALSE)</f>
        <v>0.3</v>
      </c>
      <c r="K12" s="72" t="s">
        <v>76</v>
      </c>
      <c r="L12" s="72" t="s">
        <v>77</v>
      </c>
      <c r="M12" s="72" t="s">
        <v>80</v>
      </c>
      <c r="N12" s="64" t="str">
        <f t="shared" si="1"/>
        <v>0</v>
      </c>
      <c r="O12" s="64"/>
      <c r="P12" s="72"/>
      <c r="Q12" s="72"/>
      <c r="R12" s="72"/>
      <c r="S12" s="72" t="str">
        <f t="shared" si="2"/>
        <v/>
      </c>
      <c r="T12" s="65" t="e">
        <f>VLOOKUP(S12,Atributos!$B$4:$E$9,4,FALSE)</f>
        <v>#N/A</v>
      </c>
      <c r="U12" s="72"/>
      <c r="V12" s="72"/>
      <c r="W12" s="106"/>
    </row>
    <row r="13" spans="2:32" ht="80.25" customHeight="1" thickBot="1" x14ac:dyDescent="0.3">
      <c r="B13" s="355" t="str">
        <f>+'Matriz de Riesgos'!B12</f>
        <v>R4</v>
      </c>
      <c r="C13" s="354">
        <v>1</v>
      </c>
      <c r="D13" s="64">
        <f t="shared" ref="D13:D14" si="3">IF(C13&gt;0,1,"")</f>
        <v>1</v>
      </c>
      <c r="E13" s="105" t="s">
        <v>518</v>
      </c>
      <c r="F13" s="72" t="s">
        <v>50</v>
      </c>
      <c r="G13" s="72" t="s">
        <v>72</v>
      </c>
      <c r="H13" s="72" t="s">
        <v>85</v>
      </c>
      <c r="I13" s="72" t="str">
        <f t="shared" si="0"/>
        <v>Control PreventivoManual</v>
      </c>
      <c r="J13" s="65">
        <f>VLOOKUP(I13,Atributos!$B$4:$E$9,4,FALSE)</f>
        <v>0.4</v>
      </c>
      <c r="K13" s="72" t="s">
        <v>75</v>
      </c>
      <c r="L13" s="72" t="s">
        <v>77</v>
      </c>
      <c r="M13" s="72" t="s">
        <v>80</v>
      </c>
      <c r="N13" s="64" t="str">
        <f t="shared" si="1"/>
        <v>0</v>
      </c>
      <c r="O13" s="64"/>
      <c r="P13" s="72"/>
      <c r="Q13" s="72"/>
      <c r="R13" s="72"/>
      <c r="S13" s="72" t="str">
        <f t="shared" si="2"/>
        <v/>
      </c>
      <c r="T13" s="65" t="e">
        <f>VLOOKUP(S13,Atributos!$B$4:$E$9,4,FALSE)</f>
        <v>#N/A</v>
      </c>
      <c r="U13" s="72"/>
      <c r="V13" s="72"/>
      <c r="W13" s="106"/>
    </row>
    <row r="14" spans="2:32" ht="47.25" x14ac:dyDescent="0.25">
      <c r="B14" s="196" t="str">
        <f>+'Matriz de Riesgos'!B13</f>
        <v>R5</v>
      </c>
      <c r="C14" s="354">
        <v>1</v>
      </c>
      <c r="D14" s="64">
        <f t="shared" si="3"/>
        <v>1</v>
      </c>
      <c r="E14" s="105" t="s">
        <v>356</v>
      </c>
      <c r="F14" s="72" t="s">
        <v>150</v>
      </c>
      <c r="G14" s="72" t="s">
        <v>72</v>
      </c>
      <c r="H14" s="72" t="s">
        <v>85</v>
      </c>
      <c r="I14" s="72" t="str">
        <f t="shared" si="0"/>
        <v>Control PreventivoManual</v>
      </c>
      <c r="J14" s="65">
        <f>VLOOKUP(I14,Atributos!$B$4:$E$9,4,FALSE)</f>
        <v>0.4</v>
      </c>
      <c r="K14" s="72" t="s">
        <v>75</v>
      </c>
      <c r="L14" s="72" t="s">
        <v>77</v>
      </c>
      <c r="M14" s="72" t="s">
        <v>80</v>
      </c>
      <c r="N14" s="64" t="str">
        <f t="shared" si="1"/>
        <v>0</v>
      </c>
      <c r="O14" s="72" t="s">
        <v>547</v>
      </c>
      <c r="P14" s="72" t="s">
        <v>50</v>
      </c>
      <c r="Q14" s="72" t="s">
        <v>72</v>
      </c>
      <c r="R14" s="72" t="s">
        <v>85</v>
      </c>
      <c r="S14" s="72" t="str">
        <f t="shared" si="2"/>
        <v>Control PreventivoManual</v>
      </c>
      <c r="T14" s="65">
        <f>VLOOKUP(S14,Atributos!$B$4:$E$9,4,FALSE)</f>
        <v>0.4</v>
      </c>
      <c r="U14" s="72" t="s">
        <v>75</v>
      </c>
      <c r="V14" s="72" t="s">
        <v>77</v>
      </c>
      <c r="W14" s="106" t="s">
        <v>80</v>
      </c>
    </row>
    <row r="15" spans="2:32" ht="32.25" thickBot="1" x14ac:dyDescent="0.3">
      <c r="B15" s="355" t="str">
        <f>+'Matriz de Riesgos'!B14</f>
        <v>R6</v>
      </c>
      <c r="C15" s="354">
        <v>1</v>
      </c>
      <c r="D15" s="64">
        <f t="shared" ref="D15:D31" si="4">IF(C15&gt;0,1,"")</f>
        <v>1</v>
      </c>
      <c r="E15" s="105" t="s">
        <v>357</v>
      </c>
      <c r="F15" s="72" t="s">
        <v>150</v>
      </c>
      <c r="G15" s="72" t="s">
        <v>72</v>
      </c>
      <c r="H15" s="72" t="s">
        <v>85</v>
      </c>
      <c r="I15" s="72" t="str">
        <f t="shared" ref="I15:I31" si="5">CONCATENATE(G15,H15)</f>
        <v>Control PreventivoManual</v>
      </c>
      <c r="J15" s="65">
        <f>VLOOKUP(I15,Atributos!$B$4:$E$9,4,FALSE)</f>
        <v>0.4</v>
      </c>
      <c r="K15" s="72" t="s">
        <v>75</v>
      </c>
      <c r="L15" s="72" t="s">
        <v>77</v>
      </c>
      <c r="M15" s="72" t="s">
        <v>80</v>
      </c>
      <c r="N15" s="64" t="str">
        <f t="shared" ref="N15:N31" si="6">IF(C15&gt;1,2,"0")</f>
        <v>0</v>
      </c>
      <c r="O15" s="64"/>
      <c r="P15" s="72"/>
      <c r="Q15" s="72"/>
      <c r="R15" s="72"/>
      <c r="S15" s="72" t="str">
        <f t="shared" ref="S15:S31" si="7">CONCATENATE(Q15,R15)</f>
        <v/>
      </c>
      <c r="T15" s="65" t="e">
        <f>VLOOKUP(S15,Atributos!$B$4:$E$9,4,FALSE)</f>
        <v>#N/A</v>
      </c>
      <c r="U15" s="72"/>
      <c r="V15" s="72"/>
      <c r="W15" s="106"/>
    </row>
    <row r="16" spans="2:32" ht="47.25" x14ac:dyDescent="0.25">
      <c r="B16" s="196" t="str">
        <f>+'Matriz de Riesgos'!B15</f>
        <v>R7</v>
      </c>
      <c r="C16" s="354">
        <v>1</v>
      </c>
      <c r="D16" s="87">
        <f t="shared" si="4"/>
        <v>1</v>
      </c>
      <c r="E16" s="485" t="s">
        <v>358</v>
      </c>
      <c r="F16" s="486" t="s">
        <v>0</v>
      </c>
      <c r="G16" s="486" t="s">
        <v>72</v>
      </c>
      <c r="H16" s="486" t="s">
        <v>85</v>
      </c>
      <c r="I16" s="486" t="str">
        <f t="shared" si="5"/>
        <v>Control PreventivoManual</v>
      </c>
      <c r="J16" s="487">
        <f>VLOOKUP(I16,Atributos!$B$4:$E$9,4,FALSE)</f>
        <v>0.4</v>
      </c>
      <c r="K16" s="486" t="s">
        <v>75</v>
      </c>
      <c r="L16" s="486" t="s">
        <v>77</v>
      </c>
      <c r="M16" s="486" t="s">
        <v>80</v>
      </c>
      <c r="N16" s="87">
        <v>2</v>
      </c>
      <c r="O16" s="486" t="s">
        <v>563</v>
      </c>
      <c r="P16" s="486" t="s">
        <v>0</v>
      </c>
      <c r="Q16" s="486" t="s">
        <v>73</v>
      </c>
      <c r="R16" s="486" t="s">
        <v>85</v>
      </c>
      <c r="S16" s="486" t="str">
        <f t="shared" si="7"/>
        <v>Control DetectivoManual</v>
      </c>
      <c r="T16" s="487">
        <f>VLOOKUP(S16,Atributos!$B$4:$E$9,4,FALSE)</f>
        <v>0.3</v>
      </c>
      <c r="U16" s="486" t="s">
        <v>75</v>
      </c>
      <c r="V16" s="486" t="s">
        <v>77</v>
      </c>
      <c r="W16" s="488" t="s">
        <v>80</v>
      </c>
      <c r="X16" s="87">
        <v>3</v>
      </c>
      <c r="Y16" s="486" t="s">
        <v>564</v>
      </c>
      <c r="Z16" s="486" t="s">
        <v>0</v>
      </c>
      <c r="AA16" s="486" t="s">
        <v>74</v>
      </c>
      <c r="AB16" s="486" t="s">
        <v>85</v>
      </c>
      <c r="AC16" s="487">
        <f>VLOOKUP(S16,[1]Atributos!$B$4:$E$9,4,FALSE)</f>
        <v>0.3</v>
      </c>
      <c r="AD16" s="486" t="s">
        <v>75</v>
      </c>
      <c r="AE16" s="486" t="s">
        <v>77</v>
      </c>
      <c r="AF16" s="488" t="s">
        <v>80</v>
      </c>
    </row>
    <row r="17" spans="2:32" ht="81" customHeight="1" thickBot="1" x14ac:dyDescent="0.3">
      <c r="B17" s="355" t="str">
        <f>+'Matriz de Riesgos'!B16</f>
        <v>R8</v>
      </c>
      <c r="C17" s="354">
        <v>1</v>
      </c>
      <c r="D17" s="64">
        <f t="shared" si="4"/>
        <v>1</v>
      </c>
      <c r="E17" s="105" t="s">
        <v>359</v>
      </c>
      <c r="F17" s="72" t="s">
        <v>150</v>
      </c>
      <c r="G17" s="72" t="s">
        <v>72</v>
      </c>
      <c r="H17" s="72" t="s">
        <v>85</v>
      </c>
      <c r="I17" s="72" t="str">
        <f t="shared" si="5"/>
        <v>Control PreventivoManual</v>
      </c>
      <c r="J17" s="65">
        <f>VLOOKUP(I17,Atributos!$B$4:$E$9,4,FALSE)</f>
        <v>0.4</v>
      </c>
      <c r="K17" s="72" t="s">
        <v>76</v>
      </c>
      <c r="L17" s="72" t="s">
        <v>77</v>
      </c>
      <c r="M17" s="72" t="s">
        <v>79</v>
      </c>
      <c r="N17" s="64" t="str">
        <f t="shared" si="6"/>
        <v>0</v>
      </c>
      <c r="O17" s="64"/>
      <c r="P17" s="72"/>
      <c r="Q17" s="72"/>
      <c r="R17" s="72"/>
      <c r="S17" s="72" t="str">
        <f t="shared" si="7"/>
        <v/>
      </c>
      <c r="T17" s="65" t="e">
        <f>VLOOKUP(S17,Atributos!$B$4:$E$9,4,FALSE)</f>
        <v>#N/A</v>
      </c>
      <c r="U17" s="72"/>
      <c r="V17" s="72"/>
      <c r="W17" s="106"/>
    </row>
    <row r="18" spans="2:32" ht="68.25" customHeight="1" x14ac:dyDescent="0.25">
      <c r="B18" s="196" t="str">
        <f>+'Matriz de Riesgos'!B17</f>
        <v>R9</v>
      </c>
      <c r="C18" s="354">
        <v>1</v>
      </c>
      <c r="D18" s="64">
        <f t="shared" si="4"/>
        <v>1</v>
      </c>
      <c r="E18" s="105" t="s">
        <v>360</v>
      </c>
      <c r="F18" s="72" t="s">
        <v>150</v>
      </c>
      <c r="G18" s="72" t="s">
        <v>72</v>
      </c>
      <c r="H18" s="72" t="s">
        <v>85</v>
      </c>
      <c r="I18" s="72" t="str">
        <f t="shared" si="5"/>
        <v>Control PreventivoManual</v>
      </c>
      <c r="J18" s="65">
        <f>VLOOKUP(I18,Atributos!$B$4:$E$9,4,FALSE)</f>
        <v>0.4</v>
      </c>
      <c r="K18" s="72" t="s">
        <v>75</v>
      </c>
      <c r="L18" s="72" t="s">
        <v>77</v>
      </c>
      <c r="M18" s="72" t="s">
        <v>80</v>
      </c>
      <c r="N18" s="64" t="str">
        <f t="shared" si="6"/>
        <v>0</v>
      </c>
      <c r="O18" s="64"/>
      <c r="P18" s="72"/>
      <c r="Q18" s="72"/>
      <c r="R18" s="72"/>
      <c r="S18" s="72" t="str">
        <f t="shared" si="7"/>
        <v/>
      </c>
      <c r="T18" s="65" t="e">
        <f>VLOOKUP(S18,Atributos!$B$4:$E$9,4,FALSE)</f>
        <v>#N/A</v>
      </c>
      <c r="U18" s="72"/>
      <c r="V18" s="72"/>
      <c r="W18" s="106" t="s">
        <v>80</v>
      </c>
    </row>
    <row r="19" spans="2:32" ht="54" customHeight="1" thickBot="1" x14ac:dyDescent="0.3">
      <c r="B19" s="355" t="str">
        <f>+'Matriz de Riesgos'!B18</f>
        <v>R10</v>
      </c>
      <c r="C19" s="354">
        <v>1</v>
      </c>
      <c r="D19" s="64">
        <f t="shared" si="4"/>
        <v>1</v>
      </c>
      <c r="E19" s="105" t="s">
        <v>525</v>
      </c>
      <c r="F19" s="72" t="s">
        <v>50</v>
      </c>
      <c r="G19" s="72" t="s">
        <v>73</v>
      </c>
      <c r="H19" s="72" t="s">
        <v>85</v>
      </c>
      <c r="I19" s="72" t="str">
        <f t="shared" si="5"/>
        <v>Control DetectivoManual</v>
      </c>
      <c r="J19" s="65">
        <f>VLOOKUP(I19,Atributos!$B$4:$E$9,4,FALSE)</f>
        <v>0.3</v>
      </c>
      <c r="K19" s="72" t="s">
        <v>75</v>
      </c>
      <c r="L19" s="72" t="s">
        <v>77</v>
      </c>
      <c r="M19" s="72" t="s">
        <v>80</v>
      </c>
      <c r="N19" s="64" t="str">
        <f t="shared" si="6"/>
        <v>0</v>
      </c>
      <c r="O19" s="64"/>
      <c r="P19" s="72"/>
      <c r="Q19" s="72"/>
      <c r="R19" s="72"/>
      <c r="S19" s="72" t="str">
        <f t="shared" si="7"/>
        <v/>
      </c>
      <c r="T19" s="65" t="e">
        <f>VLOOKUP(S19,Atributos!$B$4:$E$9,4,FALSE)</f>
        <v>#N/A</v>
      </c>
      <c r="U19" s="72"/>
      <c r="V19" s="72"/>
      <c r="W19" s="106"/>
    </row>
    <row r="20" spans="2:32" ht="88.5" customHeight="1" x14ac:dyDescent="0.25">
      <c r="B20" s="196" t="str">
        <f>+'Matriz de Riesgos'!B19</f>
        <v>R11</v>
      </c>
      <c r="C20" s="354">
        <v>2</v>
      </c>
      <c r="D20" s="87">
        <f t="shared" si="4"/>
        <v>1</v>
      </c>
      <c r="E20" s="485" t="s">
        <v>576</v>
      </c>
      <c r="F20" s="486" t="s">
        <v>0</v>
      </c>
      <c r="G20" s="486" t="s">
        <v>72</v>
      </c>
      <c r="H20" s="486" t="s">
        <v>85</v>
      </c>
      <c r="I20" s="486" t="str">
        <f t="shared" si="5"/>
        <v>Control PreventivoManual</v>
      </c>
      <c r="J20" s="487">
        <f>VLOOKUP(I20,Atributos!$B$4:$E$9,4,FALSE)</f>
        <v>0.4</v>
      </c>
      <c r="K20" s="486" t="s">
        <v>75</v>
      </c>
      <c r="L20" s="486" t="s">
        <v>77</v>
      </c>
      <c r="M20" s="486" t="s">
        <v>80</v>
      </c>
      <c r="N20" s="87">
        <f t="shared" si="6"/>
        <v>2</v>
      </c>
      <c r="O20" s="486" t="s">
        <v>568</v>
      </c>
      <c r="P20" s="486" t="s">
        <v>0</v>
      </c>
      <c r="Q20" s="486" t="s">
        <v>73</v>
      </c>
      <c r="R20" s="486" t="s">
        <v>85</v>
      </c>
      <c r="S20" s="486" t="str">
        <f t="shared" si="7"/>
        <v>Control DetectivoManual</v>
      </c>
      <c r="T20" s="487">
        <f>VLOOKUP(S20,Atributos!$B$4:$E$9,4,FALSE)</f>
        <v>0.3</v>
      </c>
      <c r="U20" s="486" t="s">
        <v>75</v>
      </c>
      <c r="V20" s="486" t="s">
        <v>77</v>
      </c>
      <c r="W20" s="488" t="s">
        <v>80</v>
      </c>
      <c r="X20" s="87">
        <v>3</v>
      </c>
      <c r="Y20" s="486" t="s">
        <v>569</v>
      </c>
      <c r="Z20" s="486" t="s">
        <v>0</v>
      </c>
      <c r="AA20" s="486" t="s">
        <v>74</v>
      </c>
      <c r="AB20" s="486" t="s">
        <v>85</v>
      </c>
      <c r="AC20" s="487">
        <f>VLOOKUP(S20,[1]Atributos!$B$4:$E$9,4,FALSE)</f>
        <v>0.3</v>
      </c>
      <c r="AD20" s="486" t="s">
        <v>75</v>
      </c>
      <c r="AE20" s="486" t="s">
        <v>77</v>
      </c>
      <c r="AF20" s="488" t="s">
        <v>80</v>
      </c>
    </row>
    <row r="21" spans="2:32" ht="102.75" customHeight="1" thickBot="1" x14ac:dyDescent="0.3">
      <c r="B21" s="355" t="str">
        <f>+'Matriz de Riesgos'!B20</f>
        <v>R12</v>
      </c>
      <c r="C21" s="354">
        <v>1</v>
      </c>
      <c r="D21" s="64">
        <f t="shared" si="4"/>
        <v>1</v>
      </c>
      <c r="E21" s="105" t="s">
        <v>580</v>
      </c>
      <c r="F21" s="72" t="s">
        <v>150</v>
      </c>
      <c r="G21" s="72" t="s">
        <v>72</v>
      </c>
      <c r="H21" s="72" t="s">
        <v>85</v>
      </c>
      <c r="I21" s="72" t="str">
        <f t="shared" si="5"/>
        <v>Control PreventivoManual</v>
      </c>
      <c r="J21" s="65">
        <f>VLOOKUP(I21,Atributos!$B$4:$E$9,4,FALSE)</f>
        <v>0.4</v>
      </c>
      <c r="K21" s="72" t="s">
        <v>75</v>
      </c>
      <c r="L21" s="72" t="s">
        <v>77</v>
      </c>
      <c r="M21" s="72" t="s">
        <v>80</v>
      </c>
      <c r="N21" s="64" t="str">
        <f t="shared" si="6"/>
        <v>0</v>
      </c>
      <c r="O21" s="64"/>
      <c r="P21" s="72"/>
      <c r="Q21" s="72"/>
      <c r="R21" s="72"/>
      <c r="S21" s="72" t="str">
        <f t="shared" si="7"/>
        <v/>
      </c>
      <c r="T21" s="65" t="e">
        <f>VLOOKUP(S21,Atributos!$B$4:$E$9,4,FALSE)</f>
        <v>#N/A</v>
      </c>
      <c r="U21" s="72"/>
      <c r="V21" s="72"/>
      <c r="W21" s="106"/>
    </row>
    <row r="22" spans="2:32" ht="152.25" customHeight="1" x14ac:dyDescent="0.25">
      <c r="B22" s="196" t="str">
        <f>+'Matriz de Riesgos'!B21</f>
        <v>R13</v>
      </c>
      <c r="C22" s="354">
        <v>2</v>
      </c>
      <c r="D22" s="64">
        <f t="shared" si="4"/>
        <v>1</v>
      </c>
      <c r="E22" s="105" t="s">
        <v>526</v>
      </c>
      <c r="F22" s="72" t="s">
        <v>50</v>
      </c>
      <c r="G22" s="72" t="s">
        <v>72</v>
      </c>
      <c r="H22" s="72" t="s">
        <v>85</v>
      </c>
      <c r="I22" s="72" t="str">
        <f t="shared" si="5"/>
        <v>Control PreventivoManual</v>
      </c>
      <c r="J22" s="65">
        <f>VLOOKUP(I22,Atributos!$B$4:$E$9,4,FALSE)</f>
        <v>0.4</v>
      </c>
      <c r="K22" s="72" t="s">
        <v>75</v>
      </c>
      <c r="L22" s="72" t="s">
        <v>77</v>
      </c>
      <c r="M22" s="72" t="s">
        <v>80</v>
      </c>
      <c r="N22" s="64">
        <f t="shared" si="6"/>
        <v>2</v>
      </c>
      <c r="O22" s="72" t="s">
        <v>582</v>
      </c>
      <c r="P22" s="72" t="s">
        <v>50</v>
      </c>
      <c r="Q22" s="72" t="s">
        <v>72</v>
      </c>
      <c r="R22" s="72" t="s">
        <v>85</v>
      </c>
      <c r="S22" s="72" t="str">
        <f t="shared" si="7"/>
        <v>Control PreventivoManual</v>
      </c>
      <c r="T22" s="65">
        <f>VLOOKUP(S22,Atributos!$B$4:$E$9,4,FALSE)</f>
        <v>0.4</v>
      </c>
      <c r="U22" s="72" t="s">
        <v>75</v>
      </c>
      <c r="V22" s="72" t="s">
        <v>77</v>
      </c>
      <c r="W22" s="106" t="s">
        <v>80</v>
      </c>
    </row>
    <row r="23" spans="2:32" s="417" customFormat="1" ht="65.25" customHeight="1" thickBot="1" x14ac:dyDescent="0.3">
      <c r="B23" s="355" t="str">
        <f>+'Matriz de Riesgos'!B22</f>
        <v>R14</v>
      </c>
      <c r="C23" s="354">
        <v>1</v>
      </c>
      <c r="D23" s="412">
        <f t="shared" si="4"/>
        <v>1</v>
      </c>
      <c r="E23" s="413" t="s">
        <v>458</v>
      </c>
      <c r="F23" s="414" t="s">
        <v>150</v>
      </c>
      <c r="G23" s="414" t="s">
        <v>72</v>
      </c>
      <c r="H23" s="414" t="s">
        <v>85</v>
      </c>
      <c r="I23" s="414" t="str">
        <f t="shared" si="5"/>
        <v>Control PreventivoManual</v>
      </c>
      <c r="J23" s="415">
        <f>VLOOKUP(I23,Atributos!$B$4:$E$9,4,FALSE)</f>
        <v>0.4</v>
      </c>
      <c r="K23" s="414" t="s">
        <v>76</v>
      </c>
      <c r="L23" s="414" t="s">
        <v>78</v>
      </c>
      <c r="M23" s="414" t="s">
        <v>79</v>
      </c>
      <c r="N23" s="412" t="str">
        <f t="shared" si="6"/>
        <v>0</v>
      </c>
      <c r="O23" s="412"/>
      <c r="P23" s="414"/>
      <c r="Q23" s="414"/>
      <c r="R23" s="414"/>
      <c r="S23" s="414" t="str">
        <f t="shared" si="7"/>
        <v/>
      </c>
      <c r="T23" s="415" t="e">
        <f>VLOOKUP(S23,Atributos!$B$4:$E$9,4,FALSE)</f>
        <v>#N/A</v>
      </c>
      <c r="U23" s="414"/>
      <c r="V23" s="414"/>
      <c r="W23" s="416"/>
    </row>
    <row r="24" spans="2:32" ht="87.75" customHeight="1" x14ac:dyDescent="0.25">
      <c r="B24" s="196" t="str">
        <f>+'Matriz de Riesgos'!B23</f>
        <v>R15</v>
      </c>
      <c r="C24" s="354">
        <v>2</v>
      </c>
      <c r="D24" s="64">
        <f t="shared" si="4"/>
        <v>1</v>
      </c>
      <c r="E24" s="105" t="s">
        <v>361</v>
      </c>
      <c r="F24" s="72" t="s">
        <v>50</v>
      </c>
      <c r="G24" s="72" t="s">
        <v>72</v>
      </c>
      <c r="H24" s="72" t="s">
        <v>85</v>
      </c>
      <c r="I24" s="72" t="str">
        <f t="shared" si="5"/>
        <v>Control PreventivoManual</v>
      </c>
      <c r="J24" s="65">
        <f>VLOOKUP(I24,Atributos!$B$4:$E$9,4,FALSE)</f>
        <v>0.4</v>
      </c>
      <c r="K24" s="72" t="s">
        <v>75</v>
      </c>
      <c r="L24" s="72" t="s">
        <v>77</v>
      </c>
      <c r="M24" s="72" t="s">
        <v>79</v>
      </c>
      <c r="N24" s="64">
        <f t="shared" si="6"/>
        <v>2</v>
      </c>
      <c r="O24" s="405" t="s">
        <v>404</v>
      </c>
      <c r="P24" s="72" t="s">
        <v>50</v>
      </c>
      <c r="Q24" s="72" t="s">
        <v>72</v>
      </c>
      <c r="R24" s="72" t="s">
        <v>85</v>
      </c>
      <c r="S24" s="72" t="str">
        <f t="shared" si="7"/>
        <v>Control PreventivoManual</v>
      </c>
      <c r="T24" s="65">
        <f>VLOOKUP(S24,Atributos!$B$4:$E$9,4,FALSE)</f>
        <v>0.4</v>
      </c>
      <c r="U24" s="72" t="s">
        <v>75</v>
      </c>
      <c r="V24" s="72" t="s">
        <v>77</v>
      </c>
      <c r="W24" s="106" t="s">
        <v>80</v>
      </c>
    </row>
    <row r="25" spans="2:32" ht="54" customHeight="1" thickBot="1" x14ac:dyDescent="0.3">
      <c r="B25" s="355" t="str">
        <f>+'Matriz de Riesgos'!B24</f>
        <v>R16</v>
      </c>
      <c r="C25" s="354">
        <v>1</v>
      </c>
      <c r="D25" s="64">
        <f t="shared" si="4"/>
        <v>1</v>
      </c>
      <c r="E25" s="105" t="s">
        <v>407</v>
      </c>
      <c r="F25" s="72" t="s">
        <v>150</v>
      </c>
      <c r="G25" s="72" t="s">
        <v>72</v>
      </c>
      <c r="H25" s="72" t="s">
        <v>85</v>
      </c>
      <c r="I25" s="72" t="str">
        <f t="shared" si="5"/>
        <v>Control PreventivoManual</v>
      </c>
      <c r="J25" s="65">
        <f>VLOOKUP(I25,Atributos!$B$4:$E$9,4,FALSE)</f>
        <v>0.4</v>
      </c>
      <c r="K25" s="72" t="s">
        <v>75</v>
      </c>
      <c r="L25" s="72" t="s">
        <v>77</v>
      </c>
      <c r="M25" s="72" t="s">
        <v>79</v>
      </c>
      <c r="N25" s="64" t="str">
        <f t="shared" si="6"/>
        <v>0</v>
      </c>
      <c r="O25" s="64"/>
      <c r="P25" s="72"/>
      <c r="Q25" s="72"/>
      <c r="R25" s="72"/>
      <c r="S25" s="72" t="str">
        <f t="shared" si="7"/>
        <v/>
      </c>
      <c r="T25" s="65" t="e">
        <f>VLOOKUP(S25,Atributos!$B$4:$E$9,4,FALSE)</f>
        <v>#N/A</v>
      </c>
      <c r="U25" s="72"/>
      <c r="V25" s="72"/>
      <c r="W25" s="106"/>
    </row>
    <row r="26" spans="2:32" ht="54" customHeight="1" x14ac:dyDescent="0.25">
      <c r="B26" s="196" t="str">
        <f>+'Matriz de Riesgos'!B25</f>
        <v>R17</v>
      </c>
      <c r="C26" s="354">
        <v>1</v>
      </c>
      <c r="D26" s="64">
        <f t="shared" si="4"/>
        <v>1</v>
      </c>
      <c r="E26" s="105" t="s">
        <v>411</v>
      </c>
      <c r="F26" s="72" t="s">
        <v>150</v>
      </c>
      <c r="G26" s="72" t="s">
        <v>72</v>
      </c>
      <c r="H26" s="72" t="s">
        <v>85</v>
      </c>
      <c r="I26" s="72" t="str">
        <f t="shared" si="5"/>
        <v>Control PreventivoManual</v>
      </c>
      <c r="J26" s="65">
        <f>VLOOKUP(I26,Atributos!$B$4:$E$9,4,FALSE)</f>
        <v>0.4</v>
      </c>
      <c r="K26" s="72" t="s">
        <v>75</v>
      </c>
      <c r="L26" s="72" t="s">
        <v>77</v>
      </c>
      <c r="M26" s="72" t="s">
        <v>80</v>
      </c>
      <c r="N26" s="64" t="str">
        <f t="shared" si="6"/>
        <v>0</v>
      </c>
      <c r="O26" s="64"/>
      <c r="P26" s="72"/>
      <c r="Q26" s="72"/>
      <c r="R26" s="72"/>
      <c r="S26" s="72" t="str">
        <f t="shared" si="7"/>
        <v/>
      </c>
      <c r="T26" s="65" t="e">
        <f>VLOOKUP(S26,Atributos!$B$4:$E$9,4,FALSE)</f>
        <v>#N/A</v>
      </c>
      <c r="U26" s="72"/>
      <c r="V26" s="72"/>
      <c r="W26" s="106"/>
    </row>
    <row r="27" spans="2:32" ht="54" customHeight="1" thickBot="1" x14ac:dyDescent="0.3">
      <c r="B27" s="530" t="str">
        <f>+'Matriz de Riesgos'!B26</f>
        <v>R18</v>
      </c>
      <c r="C27" s="531">
        <v>2</v>
      </c>
      <c r="D27" s="528">
        <f t="shared" si="4"/>
        <v>1</v>
      </c>
      <c r="E27" s="532" t="s">
        <v>362</v>
      </c>
      <c r="F27" s="526" t="s">
        <v>150</v>
      </c>
      <c r="G27" s="526" t="s">
        <v>73</v>
      </c>
      <c r="H27" s="526" t="s">
        <v>85</v>
      </c>
      <c r="I27" s="526" t="str">
        <f t="shared" si="5"/>
        <v>Control DetectivoManual</v>
      </c>
      <c r="J27" s="529">
        <f>VLOOKUP(I27,Atributos!$B$4:$E$9,4,FALSE)</f>
        <v>0.3</v>
      </c>
      <c r="K27" s="526" t="s">
        <v>76</v>
      </c>
      <c r="L27" s="526" t="s">
        <v>77</v>
      </c>
      <c r="M27" s="526" t="s">
        <v>79</v>
      </c>
      <c r="N27" s="528">
        <f t="shared" si="6"/>
        <v>2</v>
      </c>
      <c r="O27" s="526" t="s">
        <v>364</v>
      </c>
      <c r="P27" s="526" t="s">
        <v>150</v>
      </c>
      <c r="Q27" s="526" t="s">
        <v>73</v>
      </c>
      <c r="R27" s="526" t="s">
        <v>85</v>
      </c>
      <c r="S27" s="526" t="str">
        <f t="shared" si="7"/>
        <v>Control DetectivoManual</v>
      </c>
      <c r="T27" s="529">
        <f>VLOOKUP(S27,Atributos!$B$4:$E$9,4,FALSE)</f>
        <v>0.3</v>
      </c>
      <c r="U27" s="526" t="s">
        <v>76</v>
      </c>
      <c r="V27" s="526" t="s">
        <v>77</v>
      </c>
      <c r="W27" s="533" t="s">
        <v>80</v>
      </c>
    </row>
    <row r="28" spans="2:32" ht="54" customHeight="1" x14ac:dyDescent="0.25">
      <c r="B28" s="534" t="str">
        <f>+'Matriz de Riesgos'!B27</f>
        <v>R19</v>
      </c>
      <c r="C28" s="531">
        <v>2</v>
      </c>
      <c r="D28" s="528">
        <f t="shared" si="4"/>
        <v>1</v>
      </c>
      <c r="E28" s="527" t="s">
        <v>363</v>
      </c>
      <c r="F28" s="526" t="s">
        <v>50</v>
      </c>
      <c r="G28" s="526" t="s">
        <v>72</v>
      </c>
      <c r="H28" s="526" t="s">
        <v>85</v>
      </c>
      <c r="I28" s="526" t="str">
        <f t="shared" si="5"/>
        <v>Control PreventivoManual</v>
      </c>
      <c r="J28" s="529">
        <f>VLOOKUP(I28,Atributos!$B$4:$E$9,4,FALSE)</f>
        <v>0.4</v>
      </c>
      <c r="K28" s="526" t="s">
        <v>76</v>
      </c>
      <c r="L28" s="526" t="s">
        <v>77</v>
      </c>
      <c r="M28" s="526" t="s">
        <v>80</v>
      </c>
      <c r="N28" s="528">
        <f t="shared" si="6"/>
        <v>2</v>
      </c>
      <c r="O28" s="526" t="s">
        <v>471</v>
      </c>
      <c r="P28" s="526" t="s">
        <v>150</v>
      </c>
      <c r="Q28" s="526" t="s">
        <v>72</v>
      </c>
      <c r="R28" s="526" t="s">
        <v>85</v>
      </c>
      <c r="S28" s="526" t="str">
        <f t="shared" si="7"/>
        <v>Control PreventivoManual</v>
      </c>
      <c r="T28" s="529">
        <f>VLOOKUP(S28,Atributos!$B$4:$E$9,4,FALSE)</f>
        <v>0.4</v>
      </c>
      <c r="U28" s="526" t="s">
        <v>76</v>
      </c>
      <c r="V28" s="526" t="s">
        <v>77</v>
      </c>
      <c r="W28" s="533" t="s">
        <v>80</v>
      </c>
    </row>
    <row r="29" spans="2:32" ht="54" customHeight="1" thickBot="1" x14ac:dyDescent="0.3">
      <c r="B29" s="355" t="str">
        <f>+'Matriz de Riesgos'!B28</f>
        <v>R20</v>
      </c>
      <c r="C29" s="354">
        <v>2</v>
      </c>
      <c r="D29" s="64">
        <f t="shared" si="4"/>
        <v>1</v>
      </c>
      <c r="E29" s="105" t="s">
        <v>469</v>
      </c>
      <c r="F29" s="72" t="s">
        <v>150</v>
      </c>
      <c r="G29" s="72" t="s">
        <v>73</v>
      </c>
      <c r="H29" s="72" t="s">
        <v>85</v>
      </c>
      <c r="I29" s="72" t="str">
        <f t="shared" si="5"/>
        <v>Control DetectivoManual</v>
      </c>
      <c r="J29" s="65">
        <f>VLOOKUP(I29,Atributos!$B$4:$E$9,4,FALSE)</f>
        <v>0.3</v>
      </c>
      <c r="K29" s="72" t="s">
        <v>75</v>
      </c>
      <c r="L29" s="72" t="s">
        <v>77</v>
      </c>
      <c r="M29" s="72" t="s">
        <v>80</v>
      </c>
      <c r="N29" s="64">
        <f t="shared" si="6"/>
        <v>2</v>
      </c>
      <c r="O29" s="72" t="s">
        <v>470</v>
      </c>
      <c r="P29" s="72" t="s">
        <v>150</v>
      </c>
      <c r="Q29" s="72" t="s">
        <v>72</v>
      </c>
      <c r="R29" s="72" t="s">
        <v>85</v>
      </c>
      <c r="S29" s="72" t="str">
        <f t="shared" si="7"/>
        <v>Control PreventivoManual</v>
      </c>
      <c r="T29" s="65">
        <f>VLOOKUP(S29,Atributos!$B$4:$E$9,4,FALSE)</f>
        <v>0.4</v>
      </c>
      <c r="U29" s="72" t="s">
        <v>75</v>
      </c>
      <c r="V29" s="72" t="s">
        <v>77</v>
      </c>
      <c r="W29" s="106" t="s">
        <v>80</v>
      </c>
    </row>
    <row r="30" spans="2:32" ht="95.25" customHeight="1" x14ac:dyDescent="0.25">
      <c r="B30" s="196" t="str">
        <f>+'Matriz de Riesgos'!B29</f>
        <v>R21</v>
      </c>
      <c r="C30" s="354">
        <v>1</v>
      </c>
      <c r="D30" s="64">
        <f t="shared" si="4"/>
        <v>1</v>
      </c>
      <c r="E30" s="105" t="s">
        <v>541</v>
      </c>
      <c r="F30" s="72" t="s">
        <v>50</v>
      </c>
      <c r="G30" s="72" t="s">
        <v>72</v>
      </c>
      <c r="H30" s="72" t="s">
        <v>85</v>
      </c>
      <c r="I30" s="72" t="str">
        <f t="shared" si="5"/>
        <v>Control PreventivoManual</v>
      </c>
      <c r="J30" s="65">
        <f>VLOOKUP(I30,Atributos!$B$4:$E$9,4,FALSE)</f>
        <v>0.4</v>
      </c>
      <c r="K30" s="72" t="s">
        <v>75</v>
      </c>
      <c r="L30" s="72" t="s">
        <v>77</v>
      </c>
      <c r="M30" s="72" t="s">
        <v>80</v>
      </c>
      <c r="N30" s="64" t="str">
        <f t="shared" si="6"/>
        <v>0</v>
      </c>
      <c r="O30" s="64"/>
      <c r="P30" s="72"/>
      <c r="Q30" s="72"/>
      <c r="R30" s="72"/>
      <c r="S30" s="72" t="str">
        <f t="shared" si="7"/>
        <v/>
      </c>
      <c r="T30" s="65" t="e">
        <f>VLOOKUP(S30,Atributos!$B$4:$E$9,4,FALSE)</f>
        <v>#N/A</v>
      </c>
      <c r="U30" s="72"/>
      <c r="V30" s="72"/>
      <c r="W30" s="106"/>
    </row>
    <row r="31" spans="2:32" ht="107.25" customHeight="1" thickBot="1" x14ac:dyDescent="0.3">
      <c r="B31" s="355" t="str">
        <f>+'Matriz de Riesgos'!B30</f>
        <v>R22</v>
      </c>
      <c r="C31" s="354">
        <v>1</v>
      </c>
      <c r="D31" s="64">
        <f t="shared" si="4"/>
        <v>1</v>
      </c>
      <c r="E31" s="105" t="s">
        <v>543</v>
      </c>
      <c r="F31" s="72" t="s">
        <v>50</v>
      </c>
      <c r="G31" s="72" t="s">
        <v>72</v>
      </c>
      <c r="H31" s="72" t="s">
        <v>85</v>
      </c>
      <c r="I31" s="72" t="str">
        <f t="shared" si="5"/>
        <v>Control PreventivoManual</v>
      </c>
      <c r="J31" s="65">
        <f>VLOOKUP(I31,Atributos!$B$4:$E$9,4,FALSE)</f>
        <v>0.4</v>
      </c>
      <c r="K31" s="72" t="s">
        <v>75</v>
      </c>
      <c r="L31" s="72" t="s">
        <v>77</v>
      </c>
      <c r="M31" s="72" t="s">
        <v>80</v>
      </c>
      <c r="N31" s="64" t="str">
        <f t="shared" si="6"/>
        <v>0</v>
      </c>
      <c r="O31" s="64"/>
      <c r="P31" s="72"/>
      <c r="Q31" s="72"/>
      <c r="R31" s="72"/>
      <c r="S31" s="72" t="str">
        <f t="shared" si="7"/>
        <v/>
      </c>
      <c r="T31" s="65" t="e">
        <f>VLOOKUP(S31,Atributos!$B$4:$E$9,4,FALSE)</f>
        <v>#N/A</v>
      </c>
      <c r="U31" s="72"/>
      <c r="V31" s="72"/>
      <c r="W31" s="106"/>
    </row>
    <row r="32" spans="2:32" ht="107.25" customHeight="1" x14ac:dyDescent="0.25">
      <c r="B32" s="196" t="str">
        <f>+'Matriz de Riesgos'!B31</f>
        <v>R23</v>
      </c>
      <c r="C32" s="354">
        <v>1</v>
      </c>
      <c r="D32" s="64">
        <f t="shared" ref="D32" si="8">IF(C32&gt;0,1,"")</f>
        <v>1</v>
      </c>
      <c r="E32" s="105" t="s">
        <v>552</v>
      </c>
      <c r="F32" s="72" t="s">
        <v>50</v>
      </c>
      <c r="G32" s="72" t="s">
        <v>72</v>
      </c>
      <c r="H32" s="72" t="s">
        <v>85</v>
      </c>
      <c r="I32" s="72" t="str">
        <f t="shared" ref="I32" si="9">CONCATENATE(G32,H32)</f>
        <v>Control PreventivoManual</v>
      </c>
      <c r="J32" s="65">
        <f>VLOOKUP(I32,Atributos!$B$4:$E$9,4,FALSE)</f>
        <v>0.4</v>
      </c>
      <c r="K32" s="72" t="s">
        <v>75</v>
      </c>
      <c r="L32" s="72" t="s">
        <v>77</v>
      </c>
      <c r="M32" s="72" t="s">
        <v>80</v>
      </c>
      <c r="N32" s="64" t="str">
        <f t="shared" ref="N32" si="10">IF(C32&gt;1,2,"0")</f>
        <v>0</v>
      </c>
      <c r="O32" s="64"/>
      <c r="P32" s="72"/>
      <c r="Q32" s="72"/>
      <c r="R32" s="72"/>
      <c r="S32" s="72" t="str">
        <f t="shared" ref="S32" si="11">CONCATENATE(Q32,R32)</f>
        <v/>
      </c>
      <c r="T32" s="65" t="e">
        <f>VLOOKUP(S32,Atributos!$B$4:$E$9,4,FALSE)</f>
        <v>#N/A</v>
      </c>
      <c r="U32" s="72"/>
      <c r="V32" s="72"/>
      <c r="W32" s="106"/>
    </row>
    <row r="33" spans="2:32" ht="48" customHeight="1" x14ac:dyDescent="0.25">
      <c r="B33" s="355" t="str">
        <f>+'Matriz de Riesgos'!B32</f>
        <v>R24</v>
      </c>
      <c r="C33" s="354">
        <v>1</v>
      </c>
      <c r="D33" s="87">
        <f t="shared" ref="D33" si="12">IF(C33&gt;0,1,"")</f>
        <v>1</v>
      </c>
      <c r="E33" s="485" t="s">
        <v>574</v>
      </c>
      <c r="F33" s="486" t="s">
        <v>150</v>
      </c>
      <c r="G33" s="486" t="s">
        <v>72</v>
      </c>
      <c r="H33" s="486" t="s">
        <v>85</v>
      </c>
      <c r="I33" s="486" t="str">
        <f t="shared" ref="I33" si="13">CONCATENATE(G33,H33)</f>
        <v>Control PreventivoManual</v>
      </c>
      <c r="J33" s="487">
        <f>VLOOKUP(I33,Atributos!$B$4:$E$9,4,FALSE)</f>
        <v>0.4</v>
      </c>
      <c r="K33" s="486" t="s">
        <v>75</v>
      </c>
      <c r="L33" s="486" t="s">
        <v>77</v>
      </c>
      <c r="M33" s="486" t="s">
        <v>80</v>
      </c>
      <c r="N33" s="87">
        <v>2</v>
      </c>
      <c r="O33" s="486" t="s">
        <v>573</v>
      </c>
      <c r="P33" s="486" t="s">
        <v>0</v>
      </c>
      <c r="Q33" s="486" t="s">
        <v>73</v>
      </c>
      <c r="R33" s="486" t="s">
        <v>85</v>
      </c>
      <c r="S33" s="486" t="s">
        <v>572</v>
      </c>
      <c r="T33" s="487">
        <v>0.3</v>
      </c>
      <c r="U33" s="486" t="s">
        <v>75</v>
      </c>
      <c r="V33" s="486" t="s">
        <v>77</v>
      </c>
      <c r="W33" s="488" t="s">
        <v>80</v>
      </c>
      <c r="X33" s="87">
        <v>3</v>
      </c>
      <c r="Y33" s="486" t="s">
        <v>575</v>
      </c>
      <c r="Z33" s="486" t="s">
        <v>0</v>
      </c>
      <c r="AA33" s="486" t="s">
        <v>74</v>
      </c>
      <c r="AB33" s="486" t="s">
        <v>85</v>
      </c>
      <c r="AC33" s="487">
        <v>0.3</v>
      </c>
      <c r="AD33" s="486" t="s">
        <v>75</v>
      </c>
      <c r="AE33" s="486" t="s">
        <v>77</v>
      </c>
      <c r="AF33" s="488" t="s">
        <v>80</v>
      </c>
    </row>
  </sheetData>
  <mergeCells count="15">
    <mergeCell ref="H5:O5"/>
    <mergeCell ref="E2:U4"/>
    <mergeCell ref="B8:B9"/>
    <mergeCell ref="C7:W7"/>
    <mergeCell ref="G8:J8"/>
    <mergeCell ref="K8:M8"/>
    <mergeCell ref="Q8:T8"/>
    <mergeCell ref="U8:W8"/>
    <mergeCell ref="F8:F9"/>
    <mergeCell ref="P8:P9"/>
    <mergeCell ref="C8:C9"/>
    <mergeCell ref="D8:D9"/>
    <mergeCell ref="E8:E9"/>
    <mergeCell ref="N8:N9"/>
    <mergeCell ref="O8:O9"/>
  </mergeCells>
  <conditionalFormatting sqref="C10:C33">
    <cfRule type="cellIs" dxfId="48" priority="1" operator="equal">
      <formula>"Extremo"</formula>
    </cfRule>
    <cfRule type="cellIs" dxfId="47" priority="2" operator="equal">
      <formula>"Alto"</formula>
    </cfRule>
    <cfRule type="cellIs" dxfId="46" priority="3" operator="equal">
      <formula>"Moderado"</formula>
    </cfRule>
    <cfRule type="cellIs" dxfId="45" priority="4" operator="equal">
      <formula>"Bajo"</formula>
    </cfRule>
  </conditionalFormatting>
  <pageMargins left="0.7" right="0.7" top="0.75" bottom="0.75" header="0.3" footer="0.3"/>
  <pageSetup paperSize="9" scale="30" fitToHeight="0" orientation="landscape" r:id="rId1"/>
  <drawing r:id="rId2"/>
  <extLst>
    <ext xmlns:x14="http://schemas.microsoft.com/office/spreadsheetml/2009/9/main" uri="{CCE6A557-97BC-4b89-ADB6-D9C93CAAB3DF}">
      <x14:dataValidations xmlns:xm="http://schemas.microsoft.com/office/excel/2006/main" xWindow="945" yWindow="280" count="14">
        <x14:dataValidation type="list" allowBlank="1" showInputMessage="1" showErrorMessage="1">
          <x14:formula1>
            <xm:f>'\\SERVER1\sgs iduvi\SISTEMA DE GESTIÒN DE CALIDAD IDUVI  ISO 9001 - 2015\2. Mejoramiento Continuo\6. Mapa de riesgos\[MR-MC-01 EJMP RIESGO FISCAL.xlsx]Listas'!#REF!</xm:f>
          </x14:formula1>
          <xm:sqref>Z16 Z20 Z33</xm:sqref>
        </x14:dataValidation>
        <x14:dataValidation type="list" allowBlank="1" showInputMessage="1" showErrorMessage="1" promptTitle="Tipo de Control" prompt=" ">
          <x14:formula1>
            <xm:f>'\\SERVER1\sgs iduvi\SISTEMA DE GESTIÒN DE CALIDAD IDUVI  ISO 9001 - 2015\2. Mejoramiento Continuo\6. Mapa de riesgos\[MR-MC-01 EJMP RIESGO FISCAL.xlsx]Listas'!#REF!</xm:f>
          </x14:formula1>
          <xm:sqref>AA16 AA20 AA33</xm:sqref>
        </x14:dataValidation>
        <x14:dataValidation type="list" allowBlank="1" showInputMessage="1" showErrorMessage="1" promptTitle="Implementación" prompt="la forma que se ejecutara">
          <x14:formula1>
            <xm:f>'\\SERVER1\sgs iduvi\SISTEMA DE GESTIÒN DE CALIDAD IDUVI  ISO 9001 - 2015\2. Mejoramiento Continuo\6. Mapa de riesgos\[MR-MC-01 EJMP RIESGO FISCAL.xlsx]Listas'!#REF!</xm:f>
          </x14:formula1>
          <xm:sqref>AB16 AB20 AB33</xm:sqref>
        </x14:dataValidation>
        <x14:dataValidation type="list" allowBlank="1" showInputMessage="1" showErrorMessage="1" promptTitle="Evidecia" prompt="Tiene o no registros">
          <x14:formula1>
            <xm:f>'\\SERVER1\sgs iduvi\SISTEMA DE GESTIÒN DE CALIDAD IDUVI  ISO 9001 - 2015\2. Mejoramiento Continuo\6. Mapa de riesgos\[MR-MC-01 EJMP RIESGO FISCAL.xlsx]Listas'!#REF!</xm:f>
          </x14:formula1>
          <xm:sqref>AF16 AF20 AF33</xm:sqref>
        </x14:dataValidation>
        <x14:dataValidation type="list" allowBlank="1" showInputMessage="1" showErrorMessage="1" promptTitle="Documentación" prompt=" ">
          <x14:formula1>
            <xm:f>'\\SERVER1\sgs iduvi\SISTEMA DE GESTIÒN DE CALIDAD IDUVI  ISO 9001 - 2015\2. Mejoramiento Continuo\6. Mapa de riesgos\[MR-MC-01 EJMP RIESGO FISCAL.xlsx]Listas'!#REF!</xm:f>
          </x14:formula1>
          <xm:sqref>AD16 AD20 AD33</xm:sqref>
        </x14:dataValidation>
        <x14:dataValidation type="list" allowBlank="1" showInputMessage="1" showErrorMessage="1" promptTitle="Frecuencia">
          <x14:formula1>
            <xm:f>'\\SERVER1\sgs iduvi\SISTEMA DE GESTIÒN DE CALIDAD IDUVI  ISO 9001 - 2015\2. Mejoramiento Continuo\6. Mapa de riesgos\[MR-MC-01 EJMP RIESGO FISCAL.xlsx]Listas'!#REF!</xm:f>
          </x14:formula1>
          <xm:sqref>AE16 AE20 AE33</xm:sqref>
        </x14:dataValidation>
        <x14:dataValidation type="list" allowBlank="1" showInputMessage="1" showErrorMessage="1" promptTitle="Evidencia" prompt="Tiene o no registros">
          <x14:formula1>
            <xm:f>Listas!$K$36:$K$37</xm:f>
          </x14:formula1>
          <xm:sqref>M10:M33</xm:sqref>
        </x14:dataValidation>
        <x14:dataValidation type="list" allowBlank="1" showInputMessage="1" showErrorMessage="1" promptTitle="Implementación" prompt="la forma en que se ejecutara">
          <x14:formula1>
            <xm:f>Listas!$D$36:$D$37</xm:f>
          </x14:formula1>
          <xm:sqref>H10:H33</xm:sqref>
        </x14:dataValidation>
        <x14:dataValidation type="list" allowBlank="1" showInputMessage="1" showErrorMessage="1" promptTitle="Frecuencia">
          <x14:formula1>
            <xm:f>Listas!$F$36:$F$37</xm:f>
          </x14:formula1>
          <xm:sqref>V10:V33 L10:L33</xm:sqref>
        </x14:dataValidation>
        <x14:dataValidation type="list" allowBlank="1" showInputMessage="1" showErrorMessage="1" promptTitle="Documentación" prompt=" ">
          <x14:formula1>
            <xm:f>Listas!$E$36:$E$37</xm:f>
          </x14:formula1>
          <xm:sqref>U10:U33 K10:K33</xm:sqref>
        </x14:dataValidation>
        <x14:dataValidation type="list" allowBlank="1" showInputMessage="1" showErrorMessage="1" promptTitle="Evidecia" prompt="Tiene o no registros">
          <x14:formula1>
            <xm:f>Listas!$K$36:$K$37</xm:f>
          </x14:formula1>
          <xm:sqref>W10:W33</xm:sqref>
        </x14:dataValidation>
        <x14:dataValidation type="list" allowBlank="1" showInputMessage="1" showErrorMessage="1" promptTitle="Implementación" prompt="la forma que se ejecutara">
          <x14:formula1>
            <xm:f>Listas!$D$36:$D$37</xm:f>
          </x14:formula1>
          <xm:sqref>R10:R33</xm:sqref>
        </x14:dataValidation>
        <x14:dataValidation type="list" allowBlank="1" showInputMessage="1" showErrorMessage="1" promptTitle="Tipo de Control" prompt=" ">
          <x14:formula1>
            <xm:f>Listas!$C$36:$C$38</xm:f>
          </x14:formula1>
          <xm:sqref>Q10:Q33 G10:G33</xm:sqref>
        </x14:dataValidation>
        <x14:dataValidation type="list" allowBlank="1" showInputMessage="1" showErrorMessage="1">
          <x14:formula1>
            <xm:f>Listas!$F$9:$F$13</xm:f>
          </x14:formula1>
          <xm:sqref>P10:P33 F10:F33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B1:U33"/>
  <sheetViews>
    <sheetView zoomScale="30" zoomScaleNormal="30" workbookViewId="0">
      <selection activeCell="D6" sqref="D6"/>
    </sheetView>
  </sheetViews>
  <sheetFormatPr baseColWidth="10" defaultColWidth="11.42578125" defaultRowHeight="15.75" x14ac:dyDescent="0.25"/>
  <cols>
    <col min="1" max="1" width="6.140625" style="50" customWidth="1"/>
    <col min="2" max="2" width="12.140625" style="51" customWidth="1"/>
    <col min="3" max="3" width="20.5703125" style="73" customWidth="1"/>
    <col min="4" max="4" width="51.5703125" style="50" customWidth="1"/>
    <col min="5" max="5" width="18.140625" style="51" customWidth="1"/>
    <col min="6" max="6" width="20.42578125" style="51" customWidth="1"/>
    <col min="7" max="7" width="13.28515625" style="51" customWidth="1"/>
    <col min="8" max="8" width="15.5703125" style="51" customWidth="1"/>
    <col min="9" max="9" width="10.42578125" style="51" customWidth="1"/>
    <col min="10" max="10" width="0.140625" style="53" customWidth="1"/>
    <col min="11" max="11" width="20.28515625" style="51" customWidth="1"/>
    <col min="12" max="12" width="29.28515625" style="51" customWidth="1"/>
    <col min="13" max="13" width="34" style="51" customWidth="1"/>
    <col min="14" max="14" width="90.85546875" style="51" customWidth="1"/>
    <col min="15" max="15" width="31.28515625" style="51" customWidth="1"/>
    <col min="16" max="16" width="27.7109375" style="51" customWidth="1"/>
    <col min="17" max="17" width="25.5703125" style="51" customWidth="1"/>
    <col min="18" max="18" width="45.85546875" style="469" customWidth="1"/>
    <col min="19" max="19" width="36" style="469" customWidth="1"/>
    <col min="20" max="20" width="30.42578125" style="51" customWidth="1"/>
    <col min="21" max="21" width="24.85546875" style="51" customWidth="1"/>
    <col min="22" max="23" width="11.42578125" style="50"/>
    <col min="24" max="24" width="14.7109375" style="50" customWidth="1"/>
    <col min="25" max="29" width="17" style="50" customWidth="1"/>
    <col min="30" max="16384" width="11.42578125" style="50"/>
  </cols>
  <sheetData>
    <row r="1" spans="2:21" ht="16.5" thickBot="1" x14ac:dyDescent="0.3">
      <c r="R1" s="51"/>
      <c r="S1" s="51"/>
    </row>
    <row r="2" spans="2:21" ht="26.25" customHeight="1" x14ac:dyDescent="0.25">
      <c r="B2" s="634"/>
      <c r="C2" s="635"/>
      <c r="D2" s="636"/>
      <c r="E2" s="643" t="s">
        <v>512</v>
      </c>
      <c r="F2" s="644"/>
      <c r="G2" s="644"/>
      <c r="H2" s="644"/>
      <c r="I2" s="644"/>
      <c r="J2" s="644"/>
      <c r="K2" s="644"/>
      <c r="L2" s="644"/>
      <c r="M2" s="644"/>
      <c r="N2" s="644"/>
      <c r="O2" s="644"/>
      <c r="P2" s="644"/>
      <c r="Q2" s="644"/>
      <c r="R2" s="465"/>
      <c r="S2" s="440"/>
      <c r="T2" s="442" t="s">
        <v>151</v>
      </c>
      <c r="U2" s="443" t="s">
        <v>513</v>
      </c>
    </row>
    <row r="3" spans="2:21" ht="26.25" customHeight="1" x14ac:dyDescent="0.25">
      <c r="B3" s="637"/>
      <c r="C3" s="638"/>
      <c r="D3" s="639"/>
      <c r="E3" s="645"/>
      <c r="F3" s="646"/>
      <c r="G3" s="646"/>
      <c r="H3" s="646"/>
      <c r="I3" s="646"/>
      <c r="J3" s="646"/>
      <c r="K3" s="646"/>
      <c r="L3" s="646"/>
      <c r="M3" s="646"/>
      <c r="N3" s="646"/>
      <c r="O3" s="646"/>
      <c r="P3" s="646"/>
      <c r="Q3" s="646"/>
      <c r="R3" s="466"/>
      <c r="S3" s="50"/>
      <c r="T3" s="444" t="s">
        <v>152</v>
      </c>
      <c r="U3" s="445">
        <v>4</v>
      </c>
    </row>
    <row r="4" spans="2:21" ht="26.25" customHeight="1" thickBot="1" x14ac:dyDescent="0.3">
      <c r="B4" s="640"/>
      <c r="C4" s="641"/>
      <c r="D4" s="642"/>
      <c r="E4" s="647"/>
      <c r="F4" s="648"/>
      <c r="G4" s="648"/>
      <c r="H4" s="648"/>
      <c r="I4" s="648"/>
      <c r="J4" s="648"/>
      <c r="K4" s="648"/>
      <c r="L4" s="648"/>
      <c r="M4" s="648"/>
      <c r="N4" s="648"/>
      <c r="O4" s="648"/>
      <c r="P4" s="648"/>
      <c r="Q4" s="648"/>
      <c r="R4" s="467"/>
      <c r="S4" s="441"/>
      <c r="T4" s="446" t="s">
        <v>153</v>
      </c>
      <c r="U4" s="447">
        <v>44719</v>
      </c>
    </row>
    <row r="5" spans="2:21" x14ac:dyDescent="0.25">
      <c r="R5" s="51"/>
      <c r="S5" s="51"/>
    </row>
    <row r="6" spans="2:21" ht="16.5" thickBot="1" x14ac:dyDescent="0.3">
      <c r="R6" s="51"/>
      <c r="S6" s="51"/>
    </row>
    <row r="7" spans="2:21" ht="20.25" customHeight="1" x14ac:dyDescent="0.25">
      <c r="B7" s="628" t="s">
        <v>94</v>
      </c>
      <c r="C7" s="629"/>
      <c r="D7" s="629"/>
      <c r="E7" s="629"/>
      <c r="F7" s="629"/>
      <c r="G7" s="629"/>
      <c r="H7" s="629"/>
      <c r="I7" s="629"/>
      <c r="J7" s="629"/>
      <c r="K7" s="629"/>
      <c r="L7" s="629"/>
      <c r="M7" s="630"/>
      <c r="N7" s="620" t="s">
        <v>121</v>
      </c>
      <c r="O7" s="621"/>
      <c r="P7" s="621"/>
      <c r="Q7" s="621"/>
      <c r="R7" s="621"/>
      <c r="S7" s="621"/>
      <c r="T7" s="621"/>
      <c r="U7" s="622"/>
    </row>
    <row r="8" spans="2:21" ht="20.25" customHeight="1" thickBot="1" x14ac:dyDescent="0.3">
      <c r="B8" s="631"/>
      <c r="C8" s="632"/>
      <c r="D8" s="632"/>
      <c r="E8" s="632"/>
      <c r="F8" s="632"/>
      <c r="G8" s="632"/>
      <c r="H8" s="632"/>
      <c r="I8" s="632"/>
      <c r="J8" s="632"/>
      <c r="K8" s="632"/>
      <c r="L8" s="632"/>
      <c r="M8" s="633"/>
      <c r="N8" s="623"/>
      <c r="O8" s="624"/>
      <c r="P8" s="624"/>
      <c r="Q8" s="624"/>
      <c r="R8" s="624"/>
      <c r="S8" s="624"/>
      <c r="T8" s="624"/>
      <c r="U8" s="625"/>
    </row>
    <row r="9" spans="2:21" ht="60" customHeight="1" thickBot="1" x14ac:dyDescent="0.3">
      <c r="B9" s="138" t="s">
        <v>96</v>
      </c>
      <c r="C9" s="197" t="s">
        <v>158</v>
      </c>
      <c r="D9" s="197" t="s">
        <v>95</v>
      </c>
      <c r="E9" s="139" t="s">
        <v>89</v>
      </c>
      <c r="F9" s="140" t="s">
        <v>90</v>
      </c>
      <c r="G9" s="140" t="s">
        <v>7</v>
      </c>
      <c r="H9" s="140" t="s">
        <v>134</v>
      </c>
      <c r="I9" s="141" t="s">
        <v>7</v>
      </c>
      <c r="J9" s="142" t="s">
        <v>57</v>
      </c>
      <c r="K9" s="143" t="s">
        <v>81</v>
      </c>
      <c r="L9" s="626" t="s">
        <v>82</v>
      </c>
      <c r="M9" s="627"/>
      <c r="N9" s="198" t="s">
        <v>172</v>
      </c>
      <c r="O9" s="199" t="s">
        <v>117</v>
      </c>
      <c r="P9" s="199" t="s">
        <v>118</v>
      </c>
      <c r="Q9" s="464" t="s">
        <v>119</v>
      </c>
      <c r="R9" s="649" t="s">
        <v>91</v>
      </c>
      <c r="S9" s="650"/>
      <c r="T9" s="541" t="s">
        <v>461</v>
      </c>
      <c r="U9" s="539" t="s">
        <v>120</v>
      </c>
    </row>
    <row r="10" spans="2:21" s="168" customFormat="1" ht="183" customHeight="1" thickBot="1" x14ac:dyDescent="0.3">
      <c r="B10" s="144" t="s">
        <v>97</v>
      </c>
      <c r="C10" s="54" t="str">
        <f>'Matriz de Riesgos'!C9</f>
        <v>Gestión Documental</v>
      </c>
      <c r="D10" s="145" t="str">
        <f>'Matriz de Riesgos'!G9</f>
        <v>Posibilidad de pérdida de unidades documentales</v>
      </c>
      <c r="E10" s="55">
        <f>IF('Valoración del Control'!F10="Probabilidad",('Matriz de Riesgos'!K9-('Matriz de Riesgos'!K9*'Valoración del Control'!J10)),IF('Valoración del Control'!F10="Impacto y Probabilidad",('Matriz de Riesgos'!K9-('Matriz de Riesgos'!K9*'Valoración del Control'!J10)),IF('Valoración del Control'!F10="Ninguna","0","")))</f>
        <v>0.48</v>
      </c>
      <c r="F10" s="57" t="str">
        <f>IF(G10&lt;=20%,"Muy Baja",IF(G10&lt;=40%,"Baja",IF(G10&lt;=60%,"Media",IF(G10&lt;=80%,"Alta",IF(G10&lt;=100%,"Muy Alta",'Matriz de Riesgos'!L9)))))</f>
        <v>Alta</v>
      </c>
      <c r="G10" s="55" t="str">
        <f>IF(AND('Valoración del Control'!F10="Probabilidad",'Valoración del Control'!P10="Probabilidad"),(E10-(E10* 'Valoración del Control'!T10)),IF(AND('Valoración del Control'!F10="Ninguna",'Valoración del Control'!P10="Probabilidad"),('Matriz de Riesgos'!K9-('Matriz de Riesgos'!K9*'Matriz de Riesgos'!N9)),IF(AND('Valoración del Control'!F10="Probabilidad",'Valoración del Control'!P10="Ninguna"),E10,IF(AND('Valoración del Control'!F10="Impacto y Probabilidad",'Valoración del Control'!P10="Impacto y Probabilidad"),(E10-(E10* 'Valoración del Control'!T10)),IF(AND('Valoración del Control'!F10="Ninguna",'Valoración del Control'!P10="Impacto y Probabilidad"),('Matriz de Riesgos'!K9-('Matriz de Riesgos'!K9*'Matriz de Riesgos'!N9)),IF(AND('Valoración del Control'!F10="Probabilidad",'Valoración del Control'!P10="Ninguna"),E10,'Matriz de Riesgos'!K9))))))</f>
        <v>80%</v>
      </c>
      <c r="H10" s="57" t="str">
        <f>IF(I10&lt;=20%,"Leve",IF(I10&lt;=40%,"Menor",IF(I10&lt;=60%,"Moderado",IF(I10&lt;=80%,"Mayor",IF(I10&lt;=100%,"Catastrofico")))))</f>
        <v>Moderado</v>
      </c>
      <c r="I10" s="55">
        <f>IF(AND('Valoración del Control'!F10="Impacto",'Valoración del Control'!P10="Impacto"),(('Matriz de Riesgos'!N9-('Matriz de Riesgos'!N9*'Valoración del Control'!J10))-(('Matriz de Riesgos'!N9-('Matriz de Riesgos'!N9*'Valoración del Control'!J10))*'Valoración del Control'!T10)),IF(AND('Valoración del Control'!F10="Impacto",'Valoración del Control'!P10="Ninguna"),('Matriz de Riesgos'!N9-('Matriz de Riesgos'!N9*'Valoración del Control'!J10)),IF(AND('Valoración del Control'!F10="Ninguna",'Valoración del Control'!P10="Impacto"),('Matriz de Riesgos'!N9-('Matriz de Riesgos'!N9*'Valoración del Control'!T10)),IF(AND('Valoración del Control'!F10="Ninguna",'Valoración del Control'!P10="Ninguna"),'Matriz de Riesgos'!N9,IF(AND('Valoración del Control'!F10="Impacto y Probabilidad",'Valoración del Control'!P10="Impacto y Probabilidad"),(('Matriz de Riesgos'!N9-('Matriz de Riesgos'!N9*'Valoración del Control'!J10))-(('Matriz de Riesgos'!N9-('Matriz de Riesgos'!N9*'Valoración del Control'!J10))*'Valoración del Control'!T10)),IF(AND('Valoración del Control'!F10="Impacto y Probabilidad",'Valoración del Control'!P10="Ninguna"),('Matriz de Riesgos'!N9-('Matriz de Riesgos'!N9*'Valoración del Control'!J10)),IF(AND('Valoración del Control'!F10="Ninguna",'Valoración del Control'!P10="Impacto y Probabilidad"),('Matriz de Riesgos'!N9-('Matriz de Riesgos'!N9*'Valoración del Control'!T10)),IF(AND('Valoración del Control'!F10="Impacto",'Valoración del Control'!P10="Probabillidad"),('Matriz de Riesgos'!N9-('Matriz de Riesgos'!N9*'Valoración del Control'!J10)),IF(AND('Valoración del Control'!F10="Probabilidad",'Valoración del Control'!P10="Impacto"),('Matriz de Riesgos'!N9-('Matriz de Riesgos'!N9*'Valoración del Control'!T10)),'Matriz de Riesgos'!N9)))))))))</f>
        <v>0.6</v>
      </c>
      <c r="J10" s="146" t="str">
        <f t="shared" ref="J10:J14" si="0">CONCATENATE(F10,H10)</f>
        <v>AltaModerado</v>
      </c>
      <c r="K10" s="177" t="str">
        <f>VLOOKUP(J10,Listas!$L$2:$O$27,4,FALSE)</f>
        <v>Alto</v>
      </c>
      <c r="L10" s="57" t="str">
        <f>IF(K10="Moderado","Reducir",IF(K10="Alto","Reducir",IF(K10="Bajo","Aceptar",IF(K10="Muy Bajo","Aceptar",IF(K10="Extremo","Evitar","")))))</f>
        <v>Reducir</v>
      </c>
      <c r="M10" s="365" t="str">
        <f>VLOOKUP('Evaluación-Tratamiento'!L10,Listas!$D$69:$F$72,2,FALSE)</f>
        <v>Tratarlo mediante la transferencia o mitigación</v>
      </c>
      <c r="N10" s="368" t="s">
        <v>365</v>
      </c>
      <c r="O10" s="54" t="s">
        <v>366</v>
      </c>
      <c r="P10" s="375">
        <v>45292</v>
      </c>
      <c r="Q10" s="463">
        <v>1</v>
      </c>
      <c r="R10" s="651" t="s">
        <v>657</v>
      </c>
      <c r="S10" s="652"/>
      <c r="T10" s="540" t="s">
        <v>612</v>
      </c>
      <c r="U10" s="147" t="s">
        <v>140</v>
      </c>
    </row>
    <row r="11" spans="2:21" s="168" customFormat="1" ht="198.75" customHeight="1" thickBot="1" x14ac:dyDescent="0.3">
      <c r="B11" s="148" t="s">
        <v>98</v>
      </c>
      <c r="C11" s="61" t="str">
        <f>'Matriz de Riesgos'!C10</f>
        <v>Gestión Inmobiliaria</v>
      </c>
      <c r="D11" s="151" t="str">
        <f>'Matriz de Riesgos'!G10</f>
        <v>Posibilidad de inconsistencia en la liquidación de cesiones tipo A respecto al área o valor liquidado.</v>
      </c>
      <c r="E11" s="63">
        <f>IF('Valoración del Control'!F11="Probabilidad",('Matriz de Riesgos'!K10-('Matriz de Riesgos'!K10*'Valoración del Control'!J11)),IF('Valoración del Control'!F11="Impacto y Probabilidad",('Matriz de Riesgos'!K10-('Matriz de Riesgos'!K10*'Valoración del Control'!J11)),IF('Valoración del Control'!F11="Ninguna","0","")))</f>
        <v>0.14000000000000001</v>
      </c>
      <c r="F11" s="64" t="str">
        <f>IF(G11&lt;=20%,"Muy Baja",IF(G11&lt;=40%,"Baja",IF(G11&lt;=60%,"Media",IF(G11&lt;=80%,"Alta",IF(G11&lt;=100%,"Muy Alta",'Matriz de Riesgos'!L10)))))</f>
        <v>Muy Baja</v>
      </c>
      <c r="G11" s="63">
        <f>IF(AND('Valoración del Control'!F11="Probabilidad",'Valoración del Control'!P11="Probabilidad"),(E11-(E11* 'Valoración del Control'!T11)),IF(AND('Valoración del Control'!F11="Ninguna",'Valoración del Control'!P11="Probabilidad"),('Matriz de Riesgos'!K10-('Matriz de Riesgos'!K10*'Matriz de Riesgos'!N10)),IF(AND('Valoración del Control'!F11="Probabilidad",'Valoración del Control'!P11="Ninguna"),E11,IF(AND('Valoración del Control'!F11="Impacto y Probabilidad",'Valoración del Control'!P11="Impacto y Probabilidad"),(E11-(E11* 'Valoración del Control'!T11)),IF(AND('Valoración del Control'!F11="Ninguna",'Valoración del Control'!P11="Impacto y Probabilidad"),('Matriz de Riesgos'!K10-('Matriz de Riesgos'!K10*'Matriz de Riesgos'!N10)),IF(AND('Valoración del Control'!F11="Probabilidad",'Valoración del Control'!P11="Ninguna"),E11,'Matriz de Riesgos'!K10))))))</f>
        <v>8.4000000000000005E-2</v>
      </c>
      <c r="H11" s="64" t="str">
        <f t="shared" ref="H11:H14" si="1">IF(I11&lt;=20%,"Leve",IF(I11&lt;=40%,"Menor",IF(I11&lt;=60%,"Moderado",IF(I11&lt;=80%,"Mayor",IF(I11&lt;=100%,"Catastrofico")))))</f>
        <v>Menor</v>
      </c>
      <c r="I11" s="63">
        <f>IF(AND('Valoración del Control'!F11="Impacto",'Valoración del Control'!P11="Impacto"),(('Matriz de Riesgos'!N10-('Matriz de Riesgos'!N10*'Valoración del Control'!J11))-(('Matriz de Riesgos'!N10-('Matriz de Riesgos'!N10*'Valoración del Control'!J11))*'Valoración del Control'!T11)),IF(AND('Valoración del Control'!F11="Impacto",'Valoración del Control'!P11="Ninguna"),('Matriz de Riesgos'!N10-('Matriz de Riesgos'!N10*'Valoración del Control'!J11)),IF(AND('Valoración del Control'!F11="Ninguna",'Valoración del Control'!P11="Impacto"),('Matriz de Riesgos'!N10-('Matriz de Riesgos'!N10*'Valoración del Control'!T11)),IF(AND('Valoración del Control'!F11="Ninguna",'Valoración del Control'!P11="Ninguna"),'Matriz de Riesgos'!N10,IF(AND('Valoración del Control'!F11="Impacto y Probabilidad",'Valoración del Control'!P11="Impacto y Probabilidad"),(('Matriz de Riesgos'!N10-('Matriz de Riesgos'!N10*'Valoración del Control'!J11))-(('Matriz de Riesgos'!N10-('Matriz de Riesgos'!N10*'Valoración del Control'!J11))*'Valoración del Control'!T11)),IF(AND('Valoración del Control'!F11="Impacto y Probabilidad",'Valoración del Control'!P11="Ninguna"),('Matriz de Riesgos'!N10-('Matriz de Riesgos'!N10*'Valoración del Control'!J11)),IF(AND('Valoración del Control'!F11="Ninguna",'Valoración del Control'!P11="Impacto y Probabilidad"),('Matriz de Riesgos'!N10-('Matriz de Riesgos'!N10*'Valoración del Control'!T11)),IF(AND('Valoración del Control'!F11="Impacto",'Valoración del Control'!P11="Probabillidad"),('Matriz de Riesgos'!N10-('Matriz de Riesgos'!N10*'Valoración del Control'!J11)),IF(AND('Valoración del Control'!F11="Probabilidad",'Valoración del Control'!P11="Impacto"),('Matriz de Riesgos'!N10-('Matriz de Riesgos'!N10*'Valoración del Control'!T11)),'Matriz de Riesgos'!N10)))))))))</f>
        <v>0.252</v>
      </c>
      <c r="J11" s="149" t="str">
        <f t="shared" si="0"/>
        <v>Muy BajaMenor</v>
      </c>
      <c r="K11" s="178" t="str">
        <f>VLOOKUP(J11,Listas!$L$2:$O$27,4,FALSE)</f>
        <v>Bajo</v>
      </c>
      <c r="L11" s="64" t="str">
        <f>IF(K11="Moderado","Reducir",IF(K11="Alto","Reducir",IF(K11="Bajo","Aceptar",IF(K11="Muy Bajo","Aceptar",IF(K11="Extremo","Evitar","")))))</f>
        <v>Aceptar</v>
      </c>
      <c r="M11" s="229" t="str">
        <f>VLOOKUP('Evaluación-Tratamiento'!L11,Listas!$D$69:$F$72,2,FALSE)</f>
        <v>Asumir el riesgo conociendo los efectos de su posible materialización</v>
      </c>
      <c r="N11" s="370" t="s">
        <v>514</v>
      </c>
      <c r="O11" s="61" t="s">
        <v>367</v>
      </c>
      <c r="P11" s="375">
        <v>45293</v>
      </c>
      <c r="Q11" s="459">
        <v>1</v>
      </c>
      <c r="R11" s="651" t="s">
        <v>658</v>
      </c>
      <c r="S11" s="652"/>
      <c r="T11" s="511" t="s">
        <v>612</v>
      </c>
      <c r="U11" s="150" t="s">
        <v>140</v>
      </c>
    </row>
    <row r="12" spans="2:21" s="168" customFormat="1" ht="66.75" customHeight="1" thickBot="1" x14ac:dyDescent="0.3">
      <c r="B12" s="144" t="s">
        <v>99</v>
      </c>
      <c r="C12" s="61" t="str">
        <f>'Matriz de Riesgos'!C11</f>
        <v>Gestión Inmobiliaria</v>
      </c>
      <c r="D12" s="151" t="str">
        <f>'Matriz de Riesgos'!G11</f>
        <v>Posibilidad de retraso en la identificación y georeferenciación de predios del registro unico de patrimonio inmobiliario por parte del apoyo del proceso de G.I.</v>
      </c>
      <c r="E12" s="63">
        <f>IF('Valoración del Control'!F12="Probabilidad",('Matriz de Riesgos'!K11-('Matriz de Riesgos'!K11*'Valoración del Control'!J12)),IF('Valoración del Control'!F12="Impacto y Probabilidad",('Matriz de Riesgos'!K11-('Matriz de Riesgos'!K11*'Valoración del Control'!J12)),IF('Valoración del Control'!F12="Ninguna","0","")))</f>
        <v>0.14000000000000001</v>
      </c>
      <c r="F12" s="64" t="str">
        <f>IF(G12&lt;=20%,"Muy Baja",IF(G12&lt;=40%,"Baja",IF(G12&lt;=60%,"Media",IF(G12&lt;=80%,"Alta",IF(G12&lt;=100%,"Muy Alta",'Matriz de Riesgos'!L11)))))</f>
        <v>Muy Baja</v>
      </c>
      <c r="G12" s="63" t="str">
        <f>IF(AND('Valoración del Control'!F12="Probabilidad",'Valoración del Control'!P12="Probabilidad"),(E12-(E12* 'Valoración del Control'!T12)),IF(AND('Valoración del Control'!F12="Ninguna",'Valoración del Control'!P12="Probabilidad"),('Matriz de Riesgos'!K11-('Matriz de Riesgos'!K11*'Matriz de Riesgos'!N11)),IF(AND('Valoración del Control'!F12="Probabilidad",'Valoración del Control'!P12="Ninguna"),E12,IF(AND('Valoración del Control'!F12="Impacto y Probabilidad",'Valoración del Control'!P12="Impacto y Probabilidad"),(E12-(E12* 'Valoración del Control'!T12)),IF(AND('Valoración del Control'!F12="Ninguna",'Valoración del Control'!P12="Impacto y Probabilidad"),('Matriz de Riesgos'!K11-('Matriz de Riesgos'!K11*'Matriz de Riesgos'!N11)),IF(AND('Valoración del Control'!F12="Probabilidad",'Valoración del Control'!P12="Ninguna"),E12,'Matriz de Riesgos'!K11))))))</f>
        <v>20%</v>
      </c>
      <c r="H12" s="64" t="str">
        <f t="shared" si="1"/>
        <v>Mayor</v>
      </c>
      <c r="I12" s="63">
        <f>IF(AND('Valoración del Control'!F12="Impacto",'Valoración del Control'!P12="Impacto"),(('Matriz de Riesgos'!N11-('Matriz de Riesgos'!N11*'Valoración del Control'!J12))-(('Matriz de Riesgos'!N11-('Matriz de Riesgos'!N11*'Valoración del Control'!J12))*'Valoración del Control'!T12)),IF(AND('Valoración del Control'!F12="Impacto",'Valoración del Control'!P12="Ninguna"),('Matriz de Riesgos'!N11-('Matriz de Riesgos'!N11*'Valoración del Control'!J12)),IF(AND('Valoración del Control'!F12="Ninguna",'Valoración del Control'!P12="Impacto"),('Matriz de Riesgos'!N11-('Matriz de Riesgos'!N11*'Valoración del Control'!T12)),IF(AND('Valoración del Control'!F12="Ninguna",'Valoración del Control'!P12="Ninguna"),'Matriz de Riesgos'!N11,IF(AND('Valoración del Control'!F12="Impacto y Probabilidad",'Valoración del Control'!P12="Impacto y Probabilidad"),(('Matriz de Riesgos'!N11-('Matriz de Riesgos'!N11*'Valoración del Control'!J12))-(('Matriz de Riesgos'!N11-('Matriz de Riesgos'!N11*'Valoración del Control'!J12))*'Valoración del Control'!T12)),IF(AND('Valoración del Control'!F12="Impacto y Probabilidad",'Valoración del Control'!P12="Ninguna"),('Matriz de Riesgos'!N11-('Matriz de Riesgos'!N11*'Valoración del Control'!J12)),IF(AND('Valoración del Control'!F12="Ninguna",'Valoración del Control'!P12="Impacto y Probabilidad"),('Matriz de Riesgos'!N11-('Matriz de Riesgos'!N11*'Valoración del Control'!T12)),IF(AND('Valoración del Control'!F12="Impacto",'Valoración del Control'!P12="Probabillidad"),('Matriz de Riesgos'!N11-('Matriz de Riesgos'!N11*'Valoración del Control'!J12)),IF(AND('Valoración del Control'!F12="Probabilidad",'Valoración del Control'!P12="Impacto"),('Matriz de Riesgos'!N11-('Matriz de Riesgos'!N11*'Valoración del Control'!T12)),'Matriz de Riesgos'!N11)))))))))</f>
        <v>0.8</v>
      </c>
      <c r="J12" s="149" t="str">
        <f t="shared" si="0"/>
        <v>Muy BajaMayor</v>
      </c>
      <c r="K12" s="178" t="str">
        <f>VLOOKUP(J12,Listas!$L$2:$O$27,4,FALSE)</f>
        <v>Alto</v>
      </c>
      <c r="L12" s="64" t="str">
        <f t="shared" ref="L12:L14" si="2">IF(K12="Moderado","Reducir",IF(K12="Alto","Reducir",IF(K12="Bajo","Aceptar",IF(K12="Muy Bajo","Aceptar",IF(K12="Extremo","Evitar","")))))</f>
        <v>Reducir</v>
      </c>
      <c r="M12" s="229" t="str">
        <f>VLOOKUP('Evaluación-Tratamiento'!L12,Listas!$D$69:$F$72,2,FALSE)</f>
        <v>Tratarlo mediante la transferencia o mitigación</v>
      </c>
      <c r="N12" s="462" t="s">
        <v>368</v>
      </c>
      <c r="O12" s="61" t="s">
        <v>369</v>
      </c>
      <c r="P12" s="375">
        <v>45294</v>
      </c>
      <c r="Q12" s="459">
        <v>0.49</v>
      </c>
      <c r="R12" s="651" t="s">
        <v>659</v>
      </c>
      <c r="S12" s="652"/>
      <c r="T12" s="512" t="s">
        <v>615</v>
      </c>
      <c r="U12" s="150" t="s">
        <v>140</v>
      </c>
    </row>
    <row r="13" spans="2:21" s="168" customFormat="1" ht="60" customHeight="1" thickBot="1" x14ac:dyDescent="0.3">
      <c r="B13" s="148" t="s">
        <v>100</v>
      </c>
      <c r="C13" s="61" t="str">
        <f>'Matriz de Riesgos'!C12</f>
        <v>Gestión Humana</v>
      </c>
      <c r="D13" s="151" t="str">
        <f>'Matriz de Riesgos'!G12</f>
        <v>Posibilidad de incumplimiento a las actividades establecidas en el Plan Estratégico de Talento Humano</v>
      </c>
      <c r="E13" s="63">
        <f>IF('Valoración del Control'!F13="Probabilidad",('Matriz de Riesgos'!K12-('Matriz de Riesgos'!K12*'Valoración del Control'!J13)),IF('Valoración del Control'!F13="Impacto y Probabilidad",('Matriz de Riesgos'!K12-('Matriz de Riesgos'!K12*'Valoración del Control'!J13)),IF('Valoración del Control'!F13="Ninguna","0","")))</f>
        <v>0.24</v>
      </c>
      <c r="F13" s="64" t="str">
        <f>IF(G13&lt;=20%,"Muy Baja",IF(G13&lt;=40%,"Baja",IF(G13&lt;=60%,"Media",IF(G13&lt;=80%,"Alta",IF(G13&lt;=100%,"Muy Alta",'Matriz de Riesgos'!L12)))))</f>
        <v>Baja</v>
      </c>
      <c r="G13" s="63" t="str">
        <f>IF(AND('Valoración del Control'!F13="Probabilidad",'Valoración del Control'!P13="Probabilidad"),(E13-(E13* 'Valoración del Control'!T13)),IF(AND('Valoración del Control'!F13="Ninguna",'Valoración del Control'!P13="Probabilidad"),('Matriz de Riesgos'!K12-('Matriz de Riesgos'!K12*'Matriz de Riesgos'!N12)),IF(AND('Valoración del Control'!F13="Probabilidad",'Valoración del Control'!P13="Ninguna"),E13,IF(AND('Valoración del Control'!F13="Impacto y Probabilidad",'Valoración del Control'!P13="Impacto y Probabilidad"),(E13-(E13* 'Valoración del Control'!T13)),IF(AND('Valoración del Control'!F13="Ninguna",'Valoración del Control'!P13="Impacto y Probabilidad"),('Matriz de Riesgos'!K12-('Matriz de Riesgos'!K12*'Matriz de Riesgos'!N12)),IF(AND('Valoración del Control'!F13="Probabilidad",'Valoración del Control'!P13="Ninguna"),E13,'Matriz de Riesgos'!K12))))))</f>
        <v>40%</v>
      </c>
      <c r="H13" s="64" t="str">
        <f t="shared" si="1"/>
        <v>Menor</v>
      </c>
      <c r="I13" s="63">
        <f>IF(AND('Valoración del Control'!F13="Impacto",'Valoración del Control'!P13="Impacto"),(('Matriz de Riesgos'!N12-('Matriz de Riesgos'!N12*'Valoración del Control'!J13))-(('Matriz de Riesgos'!N12-('Matriz de Riesgos'!N12*'Valoración del Control'!J13))*'Valoración del Control'!T13)),IF(AND('Valoración del Control'!F13="Impacto",'Valoración del Control'!P13="Ninguna"),('Matriz de Riesgos'!N12-('Matriz de Riesgos'!N12*'Valoración del Control'!J13)),IF(AND('Valoración del Control'!F13="Ninguna",'Valoración del Control'!P13="Impacto"),('Matriz de Riesgos'!N12-('Matriz de Riesgos'!N12*'Valoración del Control'!T13)),IF(AND('Valoración del Control'!F13="Ninguna",'Valoración del Control'!P13="Ninguna"),'Matriz de Riesgos'!N12,IF(AND('Valoración del Control'!F13="Impacto y Probabilidad",'Valoración del Control'!P13="Impacto y Probabilidad"),(('Matriz de Riesgos'!N12-('Matriz de Riesgos'!N12*'Valoración del Control'!J13))-(('Matriz de Riesgos'!N12-('Matriz de Riesgos'!N12*'Valoración del Control'!J13))*'Valoración del Control'!T13)),IF(AND('Valoración del Control'!F13="Impacto y Probabilidad",'Valoración del Control'!P13="Ninguna"),('Matriz de Riesgos'!N12-('Matriz de Riesgos'!N12*'Valoración del Control'!J13)),IF(AND('Valoración del Control'!F13="Ninguna",'Valoración del Control'!P13="Impacto y Probabilidad"),('Matriz de Riesgos'!N12-('Matriz de Riesgos'!N12*'Valoración del Control'!T13)),IF(AND('Valoración del Control'!F13="Impacto",'Valoración del Control'!P13="Probabillidad"),('Matriz de Riesgos'!N12-('Matriz de Riesgos'!N12*'Valoración del Control'!J13)),IF(AND('Valoración del Control'!F13="Probabilidad",'Valoración del Control'!P13="Impacto"),('Matriz de Riesgos'!N12-('Matriz de Riesgos'!N12*'Valoración del Control'!T13)),'Matriz de Riesgos'!N12)))))))))</f>
        <v>0.4</v>
      </c>
      <c r="J13" s="149" t="str">
        <f t="shared" si="0"/>
        <v>BajaMenor</v>
      </c>
      <c r="K13" s="178" t="str">
        <f>VLOOKUP(J13,Listas!$L$2:$O$27,4,FALSE)</f>
        <v>Moderado</v>
      </c>
      <c r="L13" s="64" t="str">
        <f t="shared" si="2"/>
        <v>Reducir</v>
      </c>
      <c r="M13" s="229" t="str">
        <f>VLOOKUP('Evaluación-Tratamiento'!L13,Listas!$D$69:$F$72,2,FALSE)</f>
        <v>Tratarlo mediante la transferencia o mitigación</v>
      </c>
      <c r="N13" s="374" t="s">
        <v>370</v>
      </c>
      <c r="O13" s="364" t="s">
        <v>371</v>
      </c>
      <c r="P13" s="375">
        <v>45295</v>
      </c>
      <c r="Q13" s="459">
        <v>1</v>
      </c>
      <c r="R13" s="651" t="s">
        <v>647</v>
      </c>
      <c r="S13" s="652"/>
      <c r="T13" s="511" t="s">
        <v>617</v>
      </c>
      <c r="U13" s="150" t="s">
        <v>140</v>
      </c>
    </row>
    <row r="14" spans="2:21" s="168" customFormat="1" ht="60" customHeight="1" thickBot="1" x14ac:dyDescent="0.3">
      <c r="B14" s="144" t="s">
        <v>101</v>
      </c>
      <c r="C14" s="61" t="str">
        <f>'Matriz de Riesgos'!C13</f>
        <v>Gestión TICS</v>
      </c>
      <c r="D14" s="151" t="str">
        <f>'Matriz de Riesgos'!G13</f>
        <v xml:space="preserve">Posibilidad de inadecuado funcionamiento de los Sistemas de información y equipos de computo </v>
      </c>
      <c r="E14" s="63">
        <f>IF('Valoración del Control'!F14="Probabilidad",('Matriz de Riesgos'!K13-('Matriz de Riesgos'!K13*'Valoración del Control'!J14)),IF('Valoración del Control'!F14="Impacto y Probabilidad",('Matriz de Riesgos'!K13-('Matriz de Riesgos'!K13*'Valoración del Control'!J14)),IF('Valoración del Control'!F14="Ninguna","0","")))</f>
        <v>0.36</v>
      </c>
      <c r="F14" s="64" t="str">
        <f>IF(G14&lt;=20%,"Muy Baja",IF(G14&lt;=40%,"Baja",IF(G14&lt;=60%,"Media",IF(G14&lt;=80%,"Alta",IF(G14&lt;=100%,"Muy Alta",'Matriz de Riesgos'!L13)))))</f>
        <v>Media</v>
      </c>
      <c r="G14" s="63" t="str">
        <f>IF(AND('Valoración del Control'!F14="Probabilidad",'Valoración del Control'!P14="Probabilidad"),(E14-(E14* 'Valoración del Control'!T14)),IF(AND('Valoración del Control'!F14="Ninguna",'Valoración del Control'!P14="Probabilidad"),('Matriz de Riesgos'!K13-('Matriz de Riesgos'!K13*'Matriz de Riesgos'!N13)),IF(AND('Valoración del Control'!F14="Probabilidad",'Valoración del Control'!P14="Ninguna"),E14,IF(AND('Valoración del Control'!F14="Impacto y Probabilidad",'Valoración del Control'!P14="Impacto y Probabilidad"),(E14-(E14* 'Valoración del Control'!T14)),IF(AND('Valoración del Control'!F14="Ninguna",'Valoración del Control'!P14="Impacto y Probabilidad"),('Matriz de Riesgos'!K13-('Matriz de Riesgos'!K13*'Matriz de Riesgos'!N13)),IF(AND('Valoración del Control'!F14="Probabilidad",'Valoración del Control'!P14="Ninguna"),E14,'Matriz de Riesgos'!K13))))))</f>
        <v>60%</v>
      </c>
      <c r="H14" s="64" t="str">
        <f t="shared" si="1"/>
        <v>Mayor</v>
      </c>
      <c r="I14" s="63">
        <f>IF(AND('Valoración del Control'!F14="Impacto",'Valoración del Control'!P14="Impacto"),(('Matriz de Riesgos'!N13-('Matriz de Riesgos'!N13*'Valoración del Control'!J14))-(('Matriz de Riesgos'!N13-('Matriz de Riesgos'!N13*'Valoración del Control'!J14))*'Valoración del Control'!T14)),IF(AND('Valoración del Control'!F14="Impacto",'Valoración del Control'!P14="Ninguna"),('Matriz de Riesgos'!N13-('Matriz de Riesgos'!N13*'Valoración del Control'!J14)),IF(AND('Valoración del Control'!F14="Ninguna",'Valoración del Control'!P14="Impacto"),('Matriz de Riesgos'!N13-('Matriz de Riesgos'!N13*'Valoración del Control'!T14)),IF(AND('Valoración del Control'!F14="Ninguna",'Valoración del Control'!P14="Ninguna"),'Matriz de Riesgos'!N13,IF(AND('Valoración del Control'!F14="Impacto y Probabilidad",'Valoración del Control'!P14="Impacto y Probabilidad"),(('Matriz de Riesgos'!N13-('Matriz de Riesgos'!N13*'Valoración del Control'!J14))-(('Matriz de Riesgos'!N13-('Matriz de Riesgos'!N13*'Valoración del Control'!J14))*'Valoración del Control'!T14)),IF(AND('Valoración del Control'!F14="Impacto y Probabilidad",'Valoración del Control'!P14="Ninguna"),('Matriz de Riesgos'!N13-('Matriz de Riesgos'!N13*'Valoración del Control'!J14)),IF(AND('Valoración del Control'!F14="Ninguna",'Valoración del Control'!P14="Impacto y Probabilidad"),('Matriz de Riesgos'!N13-('Matriz de Riesgos'!N13*'Valoración del Control'!T14)),IF(AND('Valoración del Control'!F14="Impacto",'Valoración del Control'!P14="Probabillidad"),('Matriz de Riesgos'!N13-('Matriz de Riesgos'!N13*'Valoración del Control'!J14)),IF(AND('Valoración del Control'!F14="Probabilidad",'Valoración del Control'!P14="Impacto"),('Matriz de Riesgos'!N13-('Matriz de Riesgos'!N13*'Valoración del Control'!T14)),'Matriz de Riesgos'!N13)))))))))</f>
        <v>0.8</v>
      </c>
      <c r="J14" s="149" t="str">
        <f t="shared" si="0"/>
        <v>MediaMayor</v>
      </c>
      <c r="K14" s="178" t="str">
        <f>VLOOKUP(J14,Listas!$L$2:$O$27,4,FALSE)</f>
        <v>Alto</v>
      </c>
      <c r="L14" s="64" t="str">
        <f t="shared" si="2"/>
        <v>Reducir</v>
      </c>
      <c r="M14" s="229" t="str">
        <f>VLOOKUP('Evaluación-Tratamiento'!L14,Listas!$D$69:$F$72,2,FALSE)</f>
        <v>Tratarlo mediante la transferencia o mitigación</v>
      </c>
      <c r="N14" s="374" t="s">
        <v>449</v>
      </c>
      <c r="O14" s="364" t="s">
        <v>372</v>
      </c>
      <c r="P14" s="375">
        <v>45296</v>
      </c>
      <c r="Q14" s="459">
        <v>1</v>
      </c>
      <c r="R14" s="651" t="s">
        <v>619</v>
      </c>
      <c r="S14" s="652"/>
      <c r="T14" s="512" t="s">
        <v>620</v>
      </c>
      <c r="U14" s="150" t="s">
        <v>140</v>
      </c>
    </row>
    <row r="15" spans="2:21" ht="60" customHeight="1" thickBot="1" x14ac:dyDescent="0.3">
      <c r="B15" s="148" t="s">
        <v>102</v>
      </c>
      <c r="C15" s="61" t="str">
        <f>'Matriz de Riesgos'!C14</f>
        <v>Gestión TICS</v>
      </c>
      <c r="D15" s="356" t="str">
        <f>'Matriz de Riesgos'!G14</f>
        <v xml:space="preserve">Posibilidad de vulneración a la reserva e integridad de los sistemas de información </v>
      </c>
      <c r="E15" s="63">
        <f>IF('Valoración del Control'!F15="Probabilidad",('Matriz de Riesgos'!K14-('Matriz de Riesgos'!K14*'Valoración del Control'!J15)),IF('Valoración del Control'!F15="Impacto y Probabilidad",('Matriz de Riesgos'!K14-('Matriz de Riesgos'!K14*'Valoración del Control'!J15)),IF('Valoración del Control'!F15="Ninguna","0","")))</f>
        <v>0.36</v>
      </c>
      <c r="F15" s="64" t="str">
        <f>IF(G15&lt;=20%,"Muy Baja",IF(G15&lt;=40%,"Baja",IF(G15&lt;=60%,"Media",IF(G15&lt;=80%,"Alta",IF(G15&lt;=100%,"Muy Alta",'Matriz de Riesgos'!L14)))))</f>
        <v>Media</v>
      </c>
      <c r="G15" s="63" t="str">
        <f>IF(AND('Valoración del Control'!F15="Probabilidad",'Valoración del Control'!P15="Probabilidad"),(E15-(E15* 'Valoración del Control'!T15)),IF(AND('Valoración del Control'!F15="Ninguna",'Valoración del Control'!P15="Probabilidad"),('Matriz de Riesgos'!K14-('Matriz de Riesgos'!K14*'Matriz de Riesgos'!N14)),IF(AND('Valoración del Control'!F15="Probabilidad",'Valoración del Control'!P15="Ninguna"),E15,IF(AND('Valoración del Control'!F15="Impacto y Probabilidad",'Valoración del Control'!P15="Impacto y Probabilidad"),(E15-(E15* 'Valoración del Control'!T15)),IF(AND('Valoración del Control'!F15="Ninguna",'Valoración del Control'!P15="Impacto y Probabilidad"),('Matriz de Riesgos'!K14-('Matriz de Riesgos'!K14*'Matriz de Riesgos'!N14)),IF(AND('Valoración del Control'!F15="Probabilidad",'Valoración del Control'!P15="Ninguna"),E15,'Matriz de Riesgos'!K14))))))</f>
        <v>60%</v>
      </c>
      <c r="H15" s="64" t="str">
        <f t="shared" ref="H15:H31" si="3">IF(I15&lt;=20%,"Leve",IF(I15&lt;=40%,"Menor",IF(I15&lt;=60%,"Moderado",IF(I15&lt;=80%,"Mayor",IF(I15&lt;=100%,"Catastrofico")))))</f>
        <v>Mayor</v>
      </c>
      <c r="I15" s="63">
        <f>IF(AND('Valoración del Control'!F15="Impacto",'Valoración del Control'!P15="Impacto"),(('Matriz de Riesgos'!N14-('Matriz de Riesgos'!N14*'Valoración del Control'!J15))-(('Matriz de Riesgos'!N14-('Matriz de Riesgos'!N14*'Valoración del Control'!J15))*'Valoración del Control'!T15)),IF(AND('Valoración del Control'!F15="Impacto",'Valoración del Control'!P15="Ninguna"),('Matriz de Riesgos'!N14-('Matriz de Riesgos'!N14*'Valoración del Control'!J15)),IF(AND('Valoración del Control'!F15="Ninguna",'Valoración del Control'!P15="Impacto"),('Matriz de Riesgos'!N14-('Matriz de Riesgos'!N14*'Valoración del Control'!T15)),IF(AND('Valoración del Control'!F15="Ninguna",'Valoración del Control'!P15="Ninguna"),'Matriz de Riesgos'!N14,IF(AND('Valoración del Control'!F15="Impacto y Probabilidad",'Valoración del Control'!P15="Impacto y Probabilidad"),(('Matriz de Riesgos'!N14-('Matriz de Riesgos'!N14*'Valoración del Control'!J15))-(('Matriz de Riesgos'!N14-('Matriz de Riesgos'!N14*'Valoración del Control'!J15))*'Valoración del Control'!T15)),IF(AND('Valoración del Control'!F15="Impacto y Probabilidad",'Valoración del Control'!P15="Ninguna"),('Matriz de Riesgos'!N14-('Matriz de Riesgos'!N14*'Valoración del Control'!J15)),IF(AND('Valoración del Control'!F15="Ninguna",'Valoración del Control'!P15="Impacto y Probabilidad"),('Matriz de Riesgos'!N14-('Matriz de Riesgos'!N14*'Valoración del Control'!T15)),IF(AND('Valoración del Control'!F15="Impacto",'Valoración del Control'!P15="Probabillidad"),('Matriz de Riesgos'!N14-('Matriz de Riesgos'!N14*'Valoración del Control'!J15)),IF(AND('Valoración del Control'!F15="Probabilidad",'Valoración del Control'!P15="Impacto"),('Matriz de Riesgos'!N14-('Matriz de Riesgos'!N14*'Valoración del Control'!T15)),'Matriz de Riesgos'!N14)))))))))</f>
        <v>0.8</v>
      </c>
      <c r="J15" s="65" t="str">
        <f t="shared" ref="J15:J31" si="4">CONCATENATE(F15,H15)</f>
        <v>MediaMayor</v>
      </c>
      <c r="K15" s="178" t="str">
        <f>VLOOKUP(J15,Listas!$L$2:$O$27,4,FALSE)</f>
        <v>Alto</v>
      </c>
      <c r="L15" s="64" t="str">
        <f t="shared" ref="L15:L31" si="5">IF(K15="Moderado","Reducir",IF(K15="Alto","Reducir",IF(K15="Bajo","Aceptar",IF(K15="Muy Bajo","Aceptar",IF(K15="Extremo","Evitar","")))))</f>
        <v>Reducir</v>
      </c>
      <c r="M15" s="229" t="str">
        <f>VLOOKUP('Evaluación-Tratamiento'!L15,Listas!$D$69:$F$72,2,FALSE)</f>
        <v>Tratarlo mediante la transferencia o mitigación</v>
      </c>
      <c r="N15" s="374" t="s">
        <v>373</v>
      </c>
      <c r="O15" s="364" t="s">
        <v>372</v>
      </c>
      <c r="P15" s="375">
        <v>45297</v>
      </c>
      <c r="Q15" s="459">
        <v>1</v>
      </c>
      <c r="R15" s="651" t="s">
        <v>648</v>
      </c>
      <c r="S15" s="652"/>
      <c r="T15" s="512" t="s">
        <v>620</v>
      </c>
      <c r="U15" s="150" t="s">
        <v>140</v>
      </c>
    </row>
    <row r="16" spans="2:21" s="525" customFormat="1" ht="102" customHeight="1" thickBot="1" x14ac:dyDescent="0.3">
      <c r="B16" s="513" t="s">
        <v>103</v>
      </c>
      <c r="C16" s="514" t="str">
        <f>'Matriz de Riesgos'!C15</f>
        <v>Gestión de Recursos Físicos</v>
      </c>
      <c r="D16" s="515" t="str">
        <f>'Matriz de Riesgos'!G15</f>
        <v>Posibilidad de efecto dañoso sobre el inventario de bienes muebles y equipos de computo por daño o hurto.</v>
      </c>
      <c r="E16" s="410" t="str">
        <f>IF('Valoración del Control'!F16="Probabilidad",('Matriz de Riesgos'!K15-('Matriz de Riesgos'!K15*'Valoración del Control'!J16)),IF('Valoración del Control'!F16="Impacto y Probabilidad",('Matriz de Riesgos'!K15-('Matriz de Riesgos'!K15*'Valoración del Control'!J16)),IF('Valoración del Control'!F16="Ninguna","0","")))</f>
        <v/>
      </c>
      <c r="F16" s="516" t="str">
        <f>IF(G16&lt;=20%,"Muy Baja",IF(G16&lt;=40%,"Baja",IF(G16&lt;=60%,"Media",IF(G16&lt;=80%,"Alta",IF(G16&lt;=100%,"Muy Alta",'Matriz de Riesgos'!L15)))))</f>
        <v>Media</v>
      </c>
      <c r="G16" s="410" t="str">
        <f>IF(AND('Valoración del Control'!F16="Probabilidad",'Valoración del Control'!P16="Probabilidad"),(E16-(E16* 'Valoración del Control'!T16)),IF(AND('Valoración del Control'!F16="Ninguna",'Valoración del Control'!P16="Probabilidad"),('Matriz de Riesgos'!K15-('Matriz de Riesgos'!K15*'Matriz de Riesgos'!N15)),IF(AND('Valoración del Control'!F16="Probabilidad",'Valoración del Control'!P16="Ninguna"),E16,IF(AND('Valoración del Control'!F16="Impacto y Probabilidad",'Valoración del Control'!P16="Impacto y Probabilidad"),(E16-(E16* 'Valoración del Control'!T16)),IF(AND('Valoración del Control'!F16="Ninguna",'Valoración del Control'!P16="Impacto y Probabilidad"),('Matriz de Riesgos'!K15-('Matriz de Riesgos'!K15*'Matriz de Riesgos'!N15)),IF(AND('Valoración del Control'!F16="Probabilidad",'Valoración del Control'!P16="Ninguna"),E16,'Matriz de Riesgos'!K15))))))</f>
        <v>60%</v>
      </c>
      <c r="H16" s="516" t="str">
        <f t="shared" si="3"/>
        <v>Menor</v>
      </c>
      <c r="I16" s="410">
        <f>IF(AND('Valoración del Control'!F16="Impacto",'Valoración del Control'!P16="Impacto"),(('Matriz de Riesgos'!N15-('Matriz de Riesgos'!N15*'Valoración del Control'!J16))-(('Matriz de Riesgos'!N15-('Matriz de Riesgos'!N15*'Valoración del Control'!J16))*'Valoración del Control'!T16)),IF(AND('Valoración del Control'!F16="Impacto",'Valoración del Control'!P16="Ninguna"),('Matriz de Riesgos'!N15-('Matriz de Riesgos'!N15*'Valoración del Control'!J16)),IF(AND('Valoración del Control'!F16="Ninguna",'Valoración del Control'!P16="Impacto"),('Matriz de Riesgos'!N15-('Matriz de Riesgos'!N15*'Valoración del Control'!T16)),IF(AND('Valoración del Control'!F16="Ninguna",'Valoración del Control'!P16="Ninguna"),'Matriz de Riesgos'!N15,IF(AND('Valoración del Control'!F16="Impacto y Probabilidad",'Valoración del Control'!P16="Impacto y Probabilidad"),(('Matriz de Riesgos'!N15-('Matriz de Riesgos'!N15*'Valoración del Control'!J16))-(('Matriz de Riesgos'!N15-('Matriz de Riesgos'!N15*'Valoración del Control'!J16))*'Valoración del Control'!T16)),IF(AND('Valoración del Control'!F16="Impacto y Probabilidad",'Valoración del Control'!P16="Ninguna"),('Matriz de Riesgos'!N15-('Matriz de Riesgos'!N15*'Valoración del Control'!J16)),IF(AND('Valoración del Control'!F16="Ninguna",'Valoración del Control'!P16="Impacto y Probabilidad"),('Matriz de Riesgos'!N15-('Matriz de Riesgos'!N15*'Valoración del Control'!T16)),IF(AND('Valoración del Control'!F16="Impacto",'Valoración del Control'!P16="Probabillidad"),('Matriz de Riesgos'!N15-('Matriz de Riesgos'!N15*'Valoración del Control'!J16)),IF(AND('Valoración del Control'!F16="Probabilidad",'Valoración del Control'!P16="Impacto"),('Matriz de Riesgos'!N15-('Matriz de Riesgos'!N15*'Valoración del Control'!T16)),'Matriz de Riesgos'!N15)))))))))</f>
        <v>0.33599999999999997</v>
      </c>
      <c r="J16" s="517" t="str">
        <f t="shared" si="4"/>
        <v>MediaMenor</v>
      </c>
      <c r="K16" s="518" t="str">
        <f>VLOOKUP(J16,Listas!$L$2:$O$27,4,FALSE)</f>
        <v>Moderado</v>
      </c>
      <c r="L16" s="516" t="str">
        <f t="shared" si="5"/>
        <v>Reducir</v>
      </c>
      <c r="M16" s="519" t="str">
        <f>VLOOKUP('Evaluación-Tratamiento'!L16,Listas!$D$69:$F$72,2,FALSE)</f>
        <v>Tratarlo mediante la transferencia o mitigación</v>
      </c>
      <c r="N16" s="536" t="s">
        <v>414</v>
      </c>
      <c r="O16" s="537" t="s">
        <v>374</v>
      </c>
      <c r="P16" s="521">
        <v>45298</v>
      </c>
      <c r="Q16" s="522">
        <v>1</v>
      </c>
      <c r="R16" s="653" t="s">
        <v>649</v>
      </c>
      <c r="S16" s="654"/>
      <c r="T16" s="538" t="str">
        <f>[2]Seguimiento!$L$15</f>
        <v>\\SERVER1\Administrativos\5. Servicios Administrativos\SERVICIOS ADMINISTRATIVOS 2023\CONTABILIDAD</v>
      </c>
      <c r="U16" s="524" t="s">
        <v>139</v>
      </c>
    </row>
    <row r="17" spans="2:21" ht="60" customHeight="1" thickBot="1" x14ac:dyDescent="0.3">
      <c r="B17" s="148" t="s">
        <v>104</v>
      </c>
      <c r="C17" s="61" t="str">
        <f>'Matriz de Riesgos'!C16</f>
        <v>Gestión de Recursos Físicos</v>
      </c>
      <c r="D17" s="356" t="str">
        <f>'Matriz de Riesgos'!G16</f>
        <v xml:space="preserve">Posibilidad de Incumplimiento del plan de mantenimiento de los bienes fiscales a cargo de la Entidad. </v>
      </c>
      <c r="E17" s="63">
        <f>IF('Valoración del Control'!F17="Probabilidad",('Matriz de Riesgos'!K16-('Matriz de Riesgos'!K16*'Valoración del Control'!J17)),IF('Valoración del Control'!F17="Impacto y Probabilidad",('Matriz de Riesgos'!K16-('Matriz de Riesgos'!K16*'Valoración del Control'!J17)),IF('Valoración del Control'!F17="Ninguna","0","")))</f>
        <v>0.24</v>
      </c>
      <c r="F17" s="64" t="str">
        <f>IF(G17&lt;=20%,"Muy Baja",IF(G17&lt;=40%,"Baja",IF(G17&lt;=60%,"Media",IF(G17&lt;=80%,"Alta",IF(G17&lt;=100%,"Muy Alta",'Matriz de Riesgos'!L16)))))</f>
        <v>Baja</v>
      </c>
      <c r="G17" s="63" t="str">
        <f>IF(AND('Valoración del Control'!F17="Probabilidad",'Valoración del Control'!P17="Probabilidad"),(E17-(E17* 'Valoración del Control'!T17)),IF(AND('Valoración del Control'!F17="Ninguna",'Valoración del Control'!P17="Probabilidad"),('Matriz de Riesgos'!K16-('Matriz de Riesgos'!K16*'Matriz de Riesgos'!N16)),IF(AND('Valoración del Control'!F17="Probabilidad",'Valoración del Control'!P17="Ninguna"),E17,IF(AND('Valoración del Control'!F17="Impacto y Probabilidad",'Valoración del Control'!P17="Impacto y Probabilidad"),(E17-(E17* 'Valoración del Control'!T17)),IF(AND('Valoración del Control'!F17="Ninguna",'Valoración del Control'!P17="Impacto y Probabilidad"),('Matriz de Riesgos'!K16-('Matriz de Riesgos'!K16*'Matriz de Riesgos'!N16)),IF(AND('Valoración del Control'!F17="Probabilidad",'Valoración del Control'!P17="Ninguna"),E17,'Matriz de Riesgos'!K16))))))</f>
        <v>40%</v>
      </c>
      <c r="H17" s="64" t="str">
        <f t="shared" si="3"/>
        <v>Mayor</v>
      </c>
      <c r="I17" s="63">
        <f>IF(AND('Valoración del Control'!F17="Impacto",'Valoración del Control'!P17="Impacto"),(('Matriz de Riesgos'!N16-('Matriz de Riesgos'!N16*'Valoración del Control'!J17))-(('Matriz de Riesgos'!N16-('Matriz de Riesgos'!N16*'Valoración del Control'!J17))*'Valoración del Control'!T17)),IF(AND('Valoración del Control'!F17="Impacto",'Valoración del Control'!P17="Ninguna"),('Matriz de Riesgos'!N16-('Matriz de Riesgos'!N16*'Valoración del Control'!J17)),IF(AND('Valoración del Control'!F17="Ninguna",'Valoración del Control'!P17="Impacto"),('Matriz de Riesgos'!N16-('Matriz de Riesgos'!N16*'Valoración del Control'!T17)),IF(AND('Valoración del Control'!F17="Ninguna",'Valoración del Control'!P17="Ninguna"),'Matriz de Riesgos'!N16,IF(AND('Valoración del Control'!F17="Impacto y Probabilidad",'Valoración del Control'!P17="Impacto y Probabilidad"),(('Matriz de Riesgos'!N16-('Matriz de Riesgos'!N16*'Valoración del Control'!J17))-(('Matriz de Riesgos'!N16-('Matriz de Riesgos'!N16*'Valoración del Control'!J17))*'Valoración del Control'!T17)),IF(AND('Valoración del Control'!F17="Impacto y Probabilidad",'Valoración del Control'!P17="Ninguna"),('Matriz de Riesgos'!N16-('Matriz de Riesgos'!N16*'Valoración del Control'!J17)),IF(AND('Valoración del Control'!F17="Ninguna",'Valoración del Control'!P17="Impacto y Probabilidad"),('Matriz de Riesgos'!N16-('Matriz de Riesgos'!N16*'Valoración del Control'!T17)),IF(AND('Valoración del Control'!F17="Impacto",'Valoración del Control'!P17="Probabillidad"),('Matriz de Riesgos'!N16-('Matriz de Riesgos'!N16*'Valoración del Control'!J17)),IF(AND('Valoración del Control'!F17="Probabilidad",'Valoración del Control'!P17="Impacto"),('Matriz de Riesgos'!N16-('Matriz de Riesgos'!N16*'Valoración del Control'!T17)),'Matriz de Riesgos'!N16)))))))))</f>
        <v>0.8</v>
      </c>
      <c r="J17" s="65" t="str">
        <f t="shared" si="4"/>
        <v>BajaMayor</v>
      </c>
      <c r="K17" s="178" t="str">
        <f>VLOOKUP(J17,Listas!$L$2:$O$27,4,FALSE)</f>
        <v>Alto</v>
      </c>
      <c r="L17" s="64" t="str">
        <f t="shared" si="5"/>
        <v>Reducir</v>
      </c>
      <c r="M17" s="229" t="str">
        <f>VLOOKUP('Evaluación-Tratamiento'!L17,Listas!$D$69:$F$72,2,FALSE)</f>
        <v>Tratarlo mediante la transferencia o mitigación</v>
      </c>
      <c r="N17" s="374" t="s">
        <v>415</v>
      </c>
      <c r="O17" s="364" t="s">
        <v>374</v>
      </c>
      <c r="P17" s="375">
        <v>45299</v>
      </c>
      <c r="Q17" s="459">
        <v>1</v>
      </c>
      <c r="R17" s="651" t="s">
        <v>656</v>
      </c>
      <c r="S17" s="652"/>
      <c r="T17" s="468" t="str">
        <f>[2]Seguimiento!$L$18</f>
        <v>https://www.secop.gov.co/CO1ContractsManagement/Tendering/ProcurementContractEdit/View?docUniqueIdentifier=CO1.PCCNTR.5510200&amp;prevCtxUrl=https%3a%2f%2fwww.secop.gov.co%3a443%2fCO1ContractsManagement%2fTendering%2fProcurementContractManagement%2fIndex&amp;prevCtxLbl=Contratos+
https://www.secop.gov.co/CO1ContractsManagement/Tendering/ProcurementContractEdit/View?docUniqueIdentifier=CO1.PCCNTR.5580242&amp;prevCtxUrl=https%3a%2f%2fwww.secop.gov.co%3a443%2fCO1ContractsManagement%2fTendering%2fProcurementContractManagement%2fIndex&amp;prevCtxLbl=Contratos+
https://www.secop.gov.co/CO1ContractsManagement/Tendering/ProcurementContractEdit/View?docUniqueIdentifier=CO1.PCCNTR.5654143&amp;prevCtxUrl=https%3a%2f%2fwww.secop.gov.co%3a443%2fCO1ContractsManagement%2fTendering%2fProcurementContractManagement%2fIndex&amp;prevCtxLbl=Contratos+</v>
      </c>
      <c r="U17" s="150" t="s">
        <v>139</v>
      </c>
    </row>
    <row r="18" spans="2:21" ht="60" customHeight="1" thickBot="1" x14ac:dyDescent="0.3">
      <c r="B18" s="144" t="s">
        <v>105</v>
      </c>
      <c r="C18" s="61" t="str">
        <f>'Matriz de Riesgos'!C17</f>
        <v>Gestión Social</v>
      </c>
      <c r="D18" s="356" t="str">
        <f>'Matriz de Riesgos'!G17</f>
        <v xml:space="preserve">Posibilidad de cálculo erroneo en compensación social </v>
      </c>
      <c r="E18" s="63">
        <f>IF('Valoración del Control'!F18="Probabilidad",('Matriz de Riesgos'!K17-('Matriz de Riesgos'!K17*'Valoración del Control'!J18)),IF('Valoración del Control'!F18="Impacto y Probabilidad",('Matriz de Riesgos'!K17-('Matriz de Riesgos'!K17*'Valoración del Control'!J18)),IF('Valoración del Control'!F18="Ninguna","0","")))</f>
        <v>0.12</v>
      </c>
      <c r="F18" s="64" t="str">
        <f>IF(G18&lt;=20%,"Muy Baja",IF(G18&lt;=40%,"Baja",IF(G18&lt;=60%,"Media",IF(G18&lt;=80%,"Alta",IF(G18&lt;=100%,"Muy Alta",'Matriz de Riesgos'!L17)))))</f>
        <v>Muy Baja</v>
      </c>
      <c r="G18" s="63" t="str">
        <f>IF(AND('Valoración del Control'!F18="Probabilidad",'Valoración del Control'!P18="Probabilidad"),(E18-(E18* 'Valoración del Control'!T18)),IF(AND('Valoración del Control'!F18="Ninguna",'Valoración del Control'!P18="Probabilidad"),('Matriz de Riesgos'!K17-('Matriz de Riesgos'!K17*'Matriz de Riesgos'!N17)),IF(AND('Valoración del Control'!F18="Probabilidad",'Valoración del Control'!P18="Ninguna"),E18,IF(AND('Valoración del Control'!F18="Impacto y Probabilidad",'Valoración del Control'!P18="Impacto y Probabilidad"),(E18-(E18* 'Valoración del Control'!T18)),IF(AND('Valoración del Control'!F18="Ninguna",'Valoración del Control'!P18="Impacto y Probabilidad"),('Matriz de Riesgos'!K17-('Matriz de Riesgos'!K17*'Matriz de Riesgos'!N17)),IF(AND('Valoración del Control'!F18="Probabilidad",'Valoración del Control'!P18="Ninguna"),E18,'Matriz de Riesgos'!K17))))))</f>
        <v>20%</v>
      </c>
      <c r="H18" s="64" t="str">
        <f t="shared" si="3"/>
        <v>Mayor</v>
      </c>
      <c r="I18" s="63">
        <f>IF(AND('Valoración del Control'!F18="Impacto",'Valoración del Control'!P18="Impacto"),(('Matriz de Riesgos'!N17-('Matriz de Riesgos'!N17*'Valoración del Control'!J18))-(('Matriz de Riesgos'!N17-('Matriz de Riesgos'!N17*'Valoración del Control'!J18))*'Valoración del Control'!T18)),IF(AND('Valoración del Control'!F18="Impacto",'Valoración del Control'!P18="Ninguna"),('Matriz de Riesgos'!N17-('Matriz de Riesgos'!N17*'Valoración del Control'!J18)),IF(AND('Valoración del Control'!F18="Ninguna",'Valoración del Control'!P18="Impacto"),('Matriz de Riesgos'!N17-('Matriz de Riesgos'!N17*'Valoración del Control'!T18)),IF(AND('Valoración del Control'!F18="Ninguna",'Valoración del Control'!P18="Ninguna"),'Matriz de Riesgos'!N17,IF(AND('Valoración del Control'!F18="Impacto y Probabilidad",'Valoración del Control'!P18="Impacto y Probabilidad"),(('Matriz de Riesgos'!N17-('Matriz de Riesgos'!N17*'Valoración del Control'!J18))-(('Matriz de Riesgos'!N17-('Matriz de Riesgos'!N17*'Valoración del Control'!J18))*'Valoración del Control'!T18)),IF(AND('Valoración del Control'!F18="Impacto y Probabilidad",'Valoración del Control'!P18="Ninguna"),('Matriz de Riesgos'!N17-('Matriz de Riesgos'!N17*'Valoración del Control'!J18)),IF(AND('Valoración del Control'!F18="Ninguna",'Valoración del Control'!P18="Impacto y Probabilidad"),('Matriz de Riesgos'!N17-('Matriz de Riesgos'!N17*'Valoración del Control'!T18)),IF(AND('Valoración del Control'!F18="Impacto",'Valoración del Control'!P18="Probabillidad"),('Matriz de Riesgos'!N17-('Matriz de Riesgos'!N17*'Valoración del Control'!J18)),IF(AND('Valoración del Control'!F18="Probabilidad",'Valoración del Control'!P18="Impacto"),('Matriz de Riesgos'!N17-('Matriz de Riesgos'!N17*'Valoración del Control'!T18)),'Matriz de Riesgos'!N17)))))))))</f>
        <v>0.8</v>
      </c>
      <c r="J18" s="65" t="str">
        <f t="shared" si="4"/>
        <v>Muy BajaMayor</v>
      </c>
      <c r="K18" s="178" t="str">
        <f>VLOOKUP(J18,Listas!$L$2:$O$27,4,FALSE)</f>
        <v>Alto</v>
      </c>
      <c r="L18" s="64" t="str">
        <f t="shared" si="5"/>
        <v>Reducir</v>
      </c>
      <c r="M18" s="229" t="str">
        <f>VLOOKUP('Evaluación-Tratamiento'!L18,Listas!$D$69:$F$72,2,FALSE)</f>
        <v>Tratarlo mediante la transferencia o mitigación</v>
      </c>
      <c r="N18" s="371" t="s">
        <v>412</v>
      </c>
      <c r="O18" s="61" t="s">
        <v>376</v>
      </c>
      <c r="P18" s="375">
        <v>45292</v>
      </c>
      <c r="Q18" s="459">
        <v>0.6</v>
      </c>
      <c r="R18" s="651" t="s">
        <v>655</v>
      </c>
      <c r="S18" s="652"/>
      <c r="T18" s="512" t="s">
        <v>625</v>
      </c>
      <c r="U18" s="150" t="s">
        <v>140</v>
      </c>
    </row>
    <row r="19" spans="2:21" ht="60" customHeight="1" thickBot="1" x14ac:dyDescent="0.3">
      <c r="B19" s="148" t="s">
        <v>106</v>
      </c>
      <c r="C19" s="61" t="str">
        <f>'Matriz de Riesgos'!C18</f>
        <v>Habitabilidad</v>
      </c>
      <c r="D19" s="356" t="str">
        <f>'Matriz de Riesgos'!G18</f>
        <v>Posibilidad de Demora en la elaboración de planos.</v>
      </c>
      <c r="E19" s="63">
        <f>IF('Valoración del Control'!F19="Probabilidad",('Matriz de Riesgos'!K18-('Matriz de Riesgos'!K18*'Valoración del Control'!J19)),IF('Valoración del Control'!F19="Impacto y Probabilidad",('Matriz de Riesgos'!K18-('Matriz de Riesgos'!K18*'Valoración del Control'!J19)),IF('Valoración del Control'!F19="Ninguna","0","")))</f>
        <v>0.28000000000000003</v>
      </c>
      <c r="F19" s="64" t="str">
        <f>IF(G19&lt;=20%,"Muy Baja",IF(G19&lt;=40%,"Baja",IF(G19&lt;=60%,"Media",IF(G19&lt;=80%,"Alta",IF(G19&lt;=100%,"Muy Alta",'Matriz de Riesgos'!L18)))))</f>
        <v>Baja</v>
      </c>
      <c r="G19" s="63" t="str">
        <f>IF(AND('Valoración del Control'!F19="Probabilidad",'Valoración del Control'!P19="Probabilidad"),(E19-(E19* 'Valoración del Control'!T19)),IF(AND('Valoración del Control'!F19="Ninguna",'Valoración del Control'!P19="Probabilidad"),('Matriz de Riesgos'!K18-('Matriz de Riesgos'!K18*'Matriz de Riesgos'!N18)),IF(AND('Valoración del Control'!F19="Probabilidad",'Valoración del Control'!P19="Ninguna"),E19,IF(AND('Valoración del Control'!F19="Impacto y Probabilidad",'Valoración del Control'!P19="Impacto y Probabilidad"),(E19-(E19* 'Valoración del Control'!T19)),IF(AND('Valoración del Control'!F19="Ninguna",'Valoración del Control'!P19="Impacto y Probabilidad"),('Matriz de Riesgos'!K18-('Matriz de Riesgos'!K18*'Matriz de Riesgos'!N18)),IF(AND('Valoración del Control'!F19="Probabilidad",'Valoración del Control'!P19="Ninguna"),E19,'Matriz de Riesgos'!K18))))))</f>
        <v>40%</v>
      </c>
      <c r="H19" s="64" t="str">
        <f t="shared" si="3"/>
        <v>Moderado</v>
      </c>
      <c r="I19" s="63">
        <f>IF(AND('Valoración del Control'!F19="Impacto",'Valoración del Control'!P19="Impacto"),(('Matriz de Riesgos'!N18-('Matriz de Riesgos'!N18*'Valoración del Control'!J19))-(('Matriz de Riesgos'!N18-('Matriz de Riesgos'!N18*'Valoración del Control'!J19))*'Valoración del Control'!T19)),IF(AND('Valoración del Control'!F19="Impacto",'Valoración del Control'!P19="Ninguna"),('Matriz de Riesgos'!N18-('Matriz de Riesgos'!N18*'Valoración del Control'!J19)),IF(AND('Valoración del Control'!F19="Ninguna",'Valoración del Control'!P19="Impacto"),('Matriz de Riesgos'!N18-('Matriz de Riesgos'!N18*'Valoración del Control'!T19)),IF(AND('Valoración del Control'!F19="Ninguna",'Valoración del Control'!P19="Ninguna"),'Matriz de Riesgos'!N18,IF(AND('Valoración del Control'!F19="Impacto y Probabilidad",'Valoración del Control'!P19="Impacto y Probabilidad"),(('Matriz de Riesgos'!N18-('Matriz de Riesgos'!N18*'Valoración del Control'!J19))-(('Matriz de Riesgos'!N18-('Matriz de Riesgos'!N18*'Valoración del Control'!J19))*'Valoración del Control'!T19)),IF(AND('Valoración del Control'!F19="Impacto y Probabilidad",'Valoración del Control'!P19="Ninguna"),('Matriz de Riesgos'!N18-('Matriz de Riesgos'!N18*'Valoración del Control'!J19)),IF(AND('Valoración del Control'!F19="Ninguna",'Valoración del Control'!P19="Impacto y Probabilidad"),('Matriz de Riesgos'!N18-('Matriz de Riesgos'!N18*'Valoración del Control'!T19)),IF(AND('Valoración del Control'!F19="Impacto",'Valoración del Control'!P19="Probabillidad"),('Matriz de Riesgos'!N18-('Matriz de Riesgos'!N18*'Valoración del Control'!J19)),IF(AND('Valoración del Control'!F19="Probabilidad",'Valoración del Control'!P19="Impacto"),('Matriz de Riesgos'!N18-('Matriz de Riesgos'!N18*'Valoración del Control'!T19)),'Matriz de Riesgos'!N18)))))))))</f>
        <v>0.6</v>
      </c>
      <c r="J19" s="65" t="str">
        <f t="shared" si="4"/>
        <v>BajaModerado</v>
      </c>
      <c r="K19" s="178" t="str">
        <f>VLOOKUP(J19,Listas!$L$2:$O$27,4,FALSE)</f>
        <v>Moderado</v>
      </c>
      <c r="L19" s="64" t="str">
        <f t="shared" si="5"/>
        <v>Reducir</v>
      </c>
      <c r="M19" s="229" t="str">
        <f>VLOOKUP('Evaluación-Tratamiento'!L19,Listas!$D$69:$F$72,2,FALSE)</f>
        <v>Tratarlo mediante la transferencia o mitigación</v>
      </c>
      <c r="N19" s="371" t="s">
        <v>427</v>
      </c>
      <c r="O19" s="61" t="s">
        <v>377</v>
      </c>
      <c r="P19" s="375">
        <v>45301</v>
      </c>
      <c r="Q19" s="459">
        <v>1.47</v>
      </c>
      <c r="R19" s="651" t="s">
        <v>660</v>
      </c>
      <c r="S19" s="652"/>
      <c r="T19" s="512" t="s">
        <v>625</v>
      </c>
      <c r="U19" s="150" t="s">
        <v>139</v>
      </c>
    </row>
    <row r="20" spans="2:21" s="525" customFormat="1" ht="60" customHeight="1" thickBot="1" x14ac:dyDescent="0.3">
      <c r="B20" s="513" t="s">
        <v>107</v>
      </c>
      <c r="C20" s="514" t="str">
        <f>'Matriz de Riesgos'!C19</f>
        <v>Habitabilidad</v>
      </c>
      <c r="D20" s="515" t="str">
        <f>'Matriz de Riesgos'!G19</f>
        <v>Posibilidad de efecto dañoso sobre bienes públicos, por bienes servicios u obra pagados, sin haberse recibido a satisfacción.</v>
      </c>
      <c r="E20" s="410" t="str">
        <f>IF('Valoración del Control'!F20="Probabilidad",('Matriz de Riesgos'!K19-('Matriz de Riesgos'!K19*'Valoración del Control'!J20)),IF('Valoración del Control'!F20="Impacto y Probabilidad",('Matriz de Riesgos'!K19-('Matriz de Riesgos'!K19*'Valoración del Control'!J20)),IF('Valoración del Control'!F20="Ninguna","0","")))</f>
        <v/>
      </c>
      <c r="F20" s="516" t="str">
        <f>IF(G20&lt;=20%,"Muy Baja",IF(G20&lt;=40%,"Baja",IF(G20&lt;=60%,"Media",IF(G20&lt;=80%,"Alta",IF(G20&lt;=100%,"Muy Alta",'Matriz de Riesgos'!L19)))))</f>
        <v>Media</v>
      </c>
      <c r="G20" s="410" t="str">
        <f>IF(AND('Valoración del Control'!F20="Probabilidad",'Valoración del Control'!P20="Probabilidad"),(E20-(E20* 'Valoración del Control'!T20)),IF(AND('Valoración del Control'!F20="Ninguna",'Valoración del Control'!P20="Probabilidad"),('Matriz de Riesgos'!K19-('Matriz de Riesgos'!K19*'Matriz de Riesgos'!N19)),IF(AND('Valoración del Control'!F20="Probabilidad",'Valoración del Control'!P20="Ninguna"),E20,IF(AND('Valoración del Control'!F20="Impacto y Probabilidad",'Valoración del Control'!P20="Impacto y Probabilidad"),(E20-(E20* 'Valoración del Control'!T20)),IF(AND('Valoración del Control'!F20="Ninguna",'Valoración del Control'!P20="Impacto y Probabilidad"),('Matriz de Riesgos'!K19-('Matriz de Riesgos'!K19*'Matriz de Riesgos'!N19)),IF(AND('Valoración del Control'!F20="Probabilidad",'Valoración del Control'!P20="Ninguna"),E20,'Matriz de Riesgos'!K19))))))</f>
        <v>60%</v>
      </c>
      <c r="H20" s="516" t="str">
        <f t="shared" si="3"/>
        <v>Leve</v>
      </c>
      <c r="I20" s="410">
        <f>IF(AND('Valoración del Control'!F20="Impacto",'Valoración del Control'!P20="Impacto"),(('Matriz de Riesgos'!N19-('Matriz de Riesgos'!N19*'Valoración del Control'!J20))-(('Matriz de Riesgos'!N19-('Matriz de Riesgos'!N19*'Valoración del Control'!J20))*'Valoración del Control'!T20)),IF(AND('Valoración del Control'!F20="Impacto",'Valoración del Control'!P20="Ninguna"),('Matriz de Riesgos'!N19-('Matriz de Riesgos'!N19*'Valoración del Control'!J20)),IF(AND('Valoración del Control'!F20="Ninguna",'Valoración del Control'!P20="Impacto"),('Matriz de Riesgos'!N19-('Matriz de Riesgos'!N19*'Valoración del Control'!T20)),IF(AND('Valoración del Control'!F20="Ninguna",'Valoración del Control'!P20="Ninguna"),'Matriz de Riesgos'!N19,IF(AND('Valoración del Control'!F20="Impacto y Probabilidad",'Valoración del Control'!P20="Impacto y Probabilidad"),(('Matriz de Riesgos'!N19-('Matriz de Riesgos'!N19*'Valoración del Control'!J20))-(('Matriz de Riesgos'!N19-('Matriz de Riesgos'!N19*'Valoración del Control'!J20))*'Valoración del Control'!T20)),IF(AND('Valoración del Control'!F20="Impacto y Probabilidad",'Valoración del Control'!P20="Ninguna"),('Matriz de Riesgos'!N19-('Matriz de Riesgos'!N19*'Valoración del Control'!J20)),IF(AND('Valoración del Control'!F20="Ninguna",'Valoración del Control'!P20="Impacto y Probabilidad"),('Matriz de Riesgos'!N19-('Matriz de Riesgos'!N19*'Valoración del Control'!T20)),IF(AND('Valoración del Control'!F20="Impacto",'Valoración del Control'!P20="Probabillidad"),('Matriz de Riesgos'!N19-('Matriz de Riesgos'!N19*'Valoración del Control'!J20)),IF(AND('Valoración del Control'!F20="Probabilidad",'Valoración del Control'!P20="Impacto"),('Matriz de Riesgos'!N19-('Matriz de Riesgos'!N19*'Valoración del Control'!T20)),'Matriz de Riesgos'!N19)))))))))</f>
        <v>0.16799999999999998</v>
      </c>
      <c r="J20" s="517" t="str">
        <f t="shared" si="4"/>
        <v>MediaLeve</v>
      </c>
      <c r="K20" s="518" t="str">
        <f>VLOOKUP(J20,Listas!$L$2:$O$27,4,FALSE)</f>
        <v>Moderado</v>
      </c>
      <c r="L20" s="516" t="str">
        <f t="shared" si="5"/>
        <v>Reducir</v>
      </c>
      <c r="M20" s="519" t="str">
        <f>VLOOKUP('Evaluación-Tratamiento'!L20,Listas!$D$69:$F$72,2,FALSE)</f>
        <v>Tratarlo mediante la transferencia o mitigación</v>
      </c>
      <c r="N20" s="520" t="s">
        <v>428</v>
      </c>
      <c r="O20" s="514" t="s">
        <v>377</v>
      </c>
      <c r="P20" s="521">
        <v>45302</v>
      </c>
      <c r="Q20" s="522">
        <v>0.5</v>
      </c>
      <c r="R20" s="653" t="s">
        <v>661</v>
      </c>
      <c r="S20" s="654"/>
      <c r="T20" s="523" t="s">
        <v>625</v>
      </c>
      <c r="U20" s="524" t="s">
        <v>140</v>
      </c>
    </row>
    <row r="21" spans="2:21" ht="115.5" customHeight="1" thickBot="1" x14ac:dyDescent="0.3">
      <c r="B21" s="148" t="s">
        <v>264</v>
      </c>
      <c r="C21" s="61" t="str">
        <f>'Matriz de Riesgos'!C20</f>
        <v>Mejoramiento Continuo</v>
      </c>
      <c r="D21" s="356" t="str">
        <f>'Matriz de Riesgos'!G20</f>
        <v xml:space="preserve">Posibilidad de Retraso e Incumplimiento en las jornadas de auditoría externa al sistema de Gestión de Calidad </v>
      </c>
      <c r="E21" s="63">
        <f>IF('Valoración del Control'!F21="Probabilidad",('Matriz de Riesgos'!K20-('Matriz de Riesgos'!K20*'Valoración del Control'!J21)),IF('Valoración del Control'!F21="Impacto y Probabilidad",('Matriz de Riesgos'!K20-('Matriz de Riesgos'!K20*'Valoración del Control'!J21)),IF('Valoración del Control'!F21="Ninguna","0","")))</f>
        <v>0.24</v>
      </c>
      <c r="F21" s="64" t="str">
        <f>IF(G21&lt;=20%,"Muy Baja",IF(G21&lt;=40%,"Baja",IF(G21&lt;=60%,"Media",IF(G21&lt;=80%,"Alta",IF(G21&lt;=100%,"Muy Alta",'Matriz de Riesgos'!L20)))))</f>
        <v>Baja</v>
      </c>
      <c r="G21" s="63" t="str">
        <f>IF(AND('Valoración del Control'!F21="Probabilidad",'Valoración del Control'!P21="Probabilidad"),(E21-(E21* 'Valoración del Control'!T21)),IF(AND('Valoración del Control'!F21="Ninguna",'Valoración del Control'!P21="Probabilidad"),('Matriz de Riesgos'!K20-('Matriz de Riesgos'!K20*'Matriz de Riesgos'!N20)),IF(AND('Valoración del Control'!F21="Probabilidad",'Valoración del Control'!P21="Ninguna"),E21,IF(AND('Valoración del Control'!F21="Impacto y Probabilidad",'Valoración del Control'!P21="Impacto y Probabilidad"),(E21-(E21* 'Valoración del Control'!T21)),IF(AND('Valoración del Control'!F21="Ninguna",'Valoración del Control'!P21="Impacto y Probabilidad"),('Matriz de Riesgos'!K20-('Matriz de Riesgos'!K20*'Matriz de Riesgos'!N20)),IF(AND('Valoración del Control'!F21="Probabilidad",'Valoración del Control'!P21="Ninguna"),E21,'Matriz de Riesgos'!K20))))))</f>
        <v>40%</v>
      </c>
      <c r="H21" s="64" t="str">
        <f t="shared" si="3"/>
        <v>Leve</v>
      </c>
      <c r="I21" s="63">
        <f>IF(AND('Valoración del Control'!F21="Impacto",'Valoración del Control'!P21="Impacto"),(('Matriz de Riesgos'!N20-('Matriz de Riesgos'!N20*'Valoración del Control'!J21))-(('Matriz de Riesgos'!N20-('Matriz de Riesgos'!N20*'Valoración del Control'!J21))*'Valoración del Control'!T21)),IF(AND('Valoración del Control'!F21="Impacto",'Valoración del Control'!P21="Ninguna"),('Matriz de Riesgos'!N20-('Matriz de Riesgos'!N20*'Valoración del Control'!J21)),IF(AND('Valoración del Control'!F21="Ninguna",'Valoración del Control'!P21="Impacto"),('Matriz de Riesgos'!N20-('Matriz de Riesgos'!N20*'Valoración del Control'!T21)),IF(AND('Valoración del Control'!F21="Ninguna",'Valoración del Control'!P21="Ninguna"),'Matriz de Riesgos'!N20,IF(AND('Valoración del Control'!F21="Impacto y Probabilidad",'Valoración del Control'!P21="Impacto y Probabilidad"),(('Matriz de Riesgos'!N20-('Matriz de Riesgos'!N20*'Valoración del Control'!J21))-(('Matriz de Riesgos'!N20-('Matriz de Riesgos'!N20*'Valoración del Control'!J21))*'Valoración del Control'!T21)),IF(AND('Valoración del Control'!F21="Impacto y Probabilidad",'Valoración del Control'!P21="Ninguna"),('Matriz de Riesgos'!N20-('Matriz de Riesgos'!N20*'Valoración del Control'!J21)),IF(AND('Valoración del Control'!F21="Ninguna",'Valoración del Control'!P21="Impacto y Probabilidad"),('Matriz de Riesgos'!N20-('Matriz de Riesgos'!N20*'Valoración del Control'!T21)),IF(AND('Valoración del Control'!F21="Impacto",'Valoración del Control'!P21="Probabillidad"),('Matriz de Riesgos'!N20-('Matriz de Riesgos'!N20*'Valoración del Control'!J21)),IF(AND('Valoración del Control'!F21="Probabilidad",'Valoración del Control'!P21="Impacto"),('Matriz de Riesgos'!N20-('Matriz de Riesgos'!N20*'Valoración del Control'!T21)),'Matriz de Riesgos'!N20)))))))))</f>
        <v>0.2</v>
      </c>
      <c r="J21" s="65" t="str">
        <f t="shared" si="4"/>
        <v>BajaLeve</v>
      </c>
      <c r="K21" s="178" t="str">
        <f>VLOOKUP(J21,Listas!$L$2:$O$27,4,FALSE)</f>
        <v>Bajo</v>
      </c>
      <c r="L21" s="64" t="str">
        <f t="shared" si="5"/>
        <v>Aceptar</v>
      </c>
      <c r="M21" s="229" t="str">
        <f>VLOOKUP('Evaluación-Tratamiento'!L21,Listas!$D$69:$F$72,2,FALSE)</f>
        <v>Asumir el riesgo conociendo los efectos de su posible materialización</v>
      </c>
      <c r="N21" s="372" t="s">
        <v>465</v>
      </c>
      <c r="O21" s="61" t="s">
        <v>378</v>
      </c>
      <c r="P21" s="375">
        <v>45303</v>
      </c>
      <c r="Q21" s="459">
        <f>+KRI!I20</f>
        <v>1</v>
      </c>
      <c r="R21" s="651" t="s">
        <v>662</v>
      </c>
      <c r="S21" s="652"/>
      <c r="T21" s="523" t="s">
        <v>625</v>
      </c>
      <c r="U21" s="150" t="s">
        <v>140</v>
      </c>
    </row>
    <row r="22" spans="2:21" ht="60" customHeight="1" thickBot="1" x14ac:dyDescent="0.3">
      <c r="B22" s="144" t="s">
        <v>265</v>
      </c>
      <c r="C22" s="61" t="str">
        <f>'Matriz de Riesgos'!C21</f>
        <v>Atención al Ciudadano y Comunicaciones</v>
      </c>
      <c r="D22" s="356" t="str">
        <f>'Matriz de Riesgos'!G21</f>
        <v>Posibilidad de Incumplimiento en los terminos legales  de respuestas a las PQR´S y Derechos de Petición allegados por la comunidad (PQR sin respuesta a tiempo).</v>
      </c>
      <c r="E22" s="63">
        <f>IF('Valoración del Control'!F22="Probabilidad",('Matriz de Riesgos'!K21-('Matriz de Riesgos'!K21*'Valoración del Control'!J22)),IF('Valoración del Control'!F22="Impacto y Probabilidad",('Matriz de Riesgos'!K21-('Matriz de Riesgos'!K21*'Valoración del Control'!J22)),IF('Valoración del Control'!F22="Ninguna","0","")))</f>
        <v>0.24</v>
      </c>
      <c r="F22" s="64" t="str">
        <f>IF(G22&lt;=20%,"Muy Baja",IF(G22&lt;=40%,"Baja",IF(G22&lt;=60%,"Media",IF(G22&lt;=80%,"Alta",IF(G22&lt;=100%,"Muy Alta",'Matriz de Riesgos'!L21)))))</f>
        <v>Muy Baja</v>
      </c>
      <c r="G22" s="63">
        <f>IF(AND('Valoración del Control'!F22="Probabilidad",'Valoración del Control'!P22="Probabilidad"),(E22-(E22* 'Valoración del Control'!T22)),IF(AND('Valoración del Control'!F22="Ninguna",'Valoración del Control'!P22="Probabilidad"),('Matriz de Riesgos'!K21-('Matriz de Riesgos'!K21*'Matriz de Riesgos'!N21)),IF(AND('Valoración del Control'!F22="Probabilidad",'Valoración del Control'!P22="Ninguna"),E22,IF(AND('Valoración del Control'!F22="Impacto y Probabilidad",'Valoración del Control'!P22="Impacto y Probabilidad"),(E22-(E22* 'Valoración del Control'!T22)),IF(AND('Valoración del Control'!F22="Ninguna",'Valoración del Control'!P22="Impacto y Probabilidad"),('Matriz de Riesgos'!K21-('Matriz de Riesgos'!K21*'Matriz de Riesgos'!N21)),IF(AND('Valoración del Control'!F22="Probabilidad",'Valoración del Control'!P22="Ninguna"),E22,'Matriz de Riesgos'!K21))))))</f>
        <v>0.14399999999999999</v>
      </c>
      <c r="H22" s="64" t="str">
        <f t="shared" si="3"/>
        <v>Leve</v>
      </c>
      <c r="I22" s="63">
        <f>IF(AND('Valoración del Control'!F22="Impacto",'Valoración del Control'!P22="Impacto"),(('Matriz de Riesgos'!N21-('Matriz de Riesgos'!N21*'Valoración del Control'!J22))-(('Matriz de Riesgos'!N21-('Matriz de Riesgos'!N21*'Valoración del Control'!J22))*'Valoración del Control'!T22)),IF(AND('Valoración del Control'!F22="Impacto",'Valoración del Control'!P22="Ninguna"),('Matriz de Riesgos'!N21-('Matriz de Riesgos'!N21*'Valoración del Control'!J22)),IF(AND('Valoración del Control'!F22="Ninguna",'Valoración del Control'!P22="Impacto"),('Matriz de Riesgos'!N21-('Matriz de Riesgos'!N21*'Valoración del Control'!T22)),IF(AND('Valoración del Control'!F22="Ninguna",'Valoración del Control'!P22="Ninguna"),'Matriz de Riesgos'!N21,IF(AND('Valoración del Control'!F22="Impacto y Probabilidad",'Valoración del Control'!P22="Impacto y Probabilidad"),(('Matriz de Riesgos'!N21-('Matriz de Riesgos'!N21*'Valoración del Control'!J22))-(('Matriz de Riesgos'!N21-('Matriz de Riesgos'!N21*'Valoración del Control'!J22))*'Valoración del Control'!T22)),IF(AND('Valoración del Control'!F22="Impacto y Probabilidad",'Valoración del Control'!P22="Ninguna"),('Matriz de Riesgos'!N21-('Matriz de Riesgos'!N21*'Valoración del Control'!J22)),IF(AND('Valoración del Control'!F22="Ninguna",'Valoración del Control'!P22="Impacto y Probabilidad"),('Matriz de Riesgos'!N21-('Matriz de Riesgos'!N21*'Valoración del Control'!T22)),IF(AND('Valoración del Control'!F22="Impacto",'Valoración del Control'!P22="Probabillidad"),('Matriz de Riesgos'!N21-('Matriz de Riesgos'!N21*'Valoración del Control'!J22)),IF(AND('Valoración del Control'!F22="Probabilidad",'Valoración del Control'!P22="Impacto"),('Matriz de Riesgos'!N21-('Matriz de Riesgos'!N21*'Valoración del Control'!T22)),'Matriz de Riesgos'!N21)))))))))</f>
        <v>0.2</v>
      </c>
      <c r="J22" s="65" t="str">
        <f t="shared" si="4"/>
        <v>Muy BajaLeve</v>
      </c>
      <c r="K22" s="178" t="str">
        <f>VLOOKUP(J22,Listas!$L$2:$O$27,4,FALSE)</f>
        <v>Bajo</v>
      </c>
      <c r="L22" s="64" t="str">
        <f t="shared" si="5"/>
        <v>Aceptar</v>
      </c>
      <c r="M22" s="229" t="str">
        <f>VLOOKUP('Evaluación-Tratamiento'!L22,Listas!$D$69:$F$72,2,FALSE)</f>
        <v>Asumir el riesgo conociendo los efectos de su posible materialización</v>
      </c>
      <c r="N22" s="369" t="s">
        <v>379</v>
      </c>
      <c r="O22" s="61" t="s">
        <v>380</v>
      </c>
      <c r="P22" s="375">
        <v>45304</v>
      </c>
      <c r="Q22" s="459">
        <v>0.87</v>
      </c>
      <c r="R22" s="651" t="s">
        <v>663</v>
      </c>
      <c r="S22" s="652"/>
      <c r="T22" s="523" t="s">
        <v>625</v>
      </c>
      <c r="U22" s="150" t="s">
        <v>140</v>
      </c>
    </row>
    <row r="23" spans="2:21" s="525" customFormat="1" ht="75.75" customHeight="1" thickBot="1" x14ac:dyDescent="0.3">
      <c r="B23" s="543" t="s">
        <v>266</v>
      </c>
      <c r="C23" s="514" t="str">
        <f>'Matriz de Riesgos'!C22</f>
        <v>Gestión Financiera</v>
      </c>
      <c r="D23" s="515" t="str">
        <f>'Matriz de Riesgos'!G22</f>
        <v>Posibilidad de Incumplimiento de metas en la  ejecución de los recursos planificados durante el cuatrenio, por causa del recaudo propio el cual impide la ejecucion de los mismos, generando un incremento en la cartera de la Entidad.</v>
      </c>
      <c r="E23" s="410">
        <f>IF('Valoración del Control'!F23="Probabilidad",('Matriz de Riesgos'!K22-('Matriz de Riesgos'!K22*'Valoración del Control'!J23)),IF('Valoración del Control'!F23="Impacto y Probabilidad",('Matriz de Riesgos'!K22-('Matriz de Riesgos'!K22*'Valoración del Control'!J23)),IF('Valoración del Control'!F23="Ninguna","0","")))</f>
        <v>0.36</v>
      </c>
      <c r="F23" s="516" t="str">
        <f>IF(G23&lt;=20%,"Muy Baja",IF(G23&lt;=40%,"Baja",IF(G23&lt;=60%,"Media",IF(G23&lt;=80%,"Alta",IF(G23&lt;=100%,"Muy Alta",'Matriz de Riesgos'!L22)))))</f>
        <v>Media</v>
      </c>
      <c r="G23" s="410" t="str">
        <f>IF(AND('Valoración del Control'!F23="Probabilidad",'Valoración del Control'!P23="Probabilidad"),(E23-(E23* 'Valoración del Control'!T23)),IF(AND('Valoración del Control'!F23="Ninguna",'Valoración del Control'!P23="Probabilidad"),('Matriz de Riesgos'!K22-('Matriz de Riesgos'!K22*'Matriz de Riesgos'!N22)),IF(AND('Valoración del Control'!F23="Probabilidad",'Valoración del Control'!P23="Ninguna"),E23,IF(AND('Valoración del Control'!F23="Impacto y Probabilidad",'Valoración del Control'!P23="Impacto y Probabilidad"),(E23-(E23* 'Valoración del Control'!T23)),IF(AND('Valoración del Control'!F23="Ninguna",'Valoración del Control'!P23="Impacto y Probabilidad"),('Matriz de Riesgos'!K22-('Matriz de Riesgos'!K22*'Matriz de Riesgos'!N22)),IF(AND('Valoración del Control'!F23="Probabilidad",'Valoración del Control'!P23="Ninguna"),E23,'Matriz de Riesgos'!K22))))))</f>
        <v>60%</v>
      </c>
      <c r="H23" s="516" t="str">
        <f t="shared" si="3"/>
        <v>Moderado</v>
      </c>
      <c r="I23" s="410">
        <f>IF(AND('Valoración del Control'!F23="Impacto",'Valoración del Control'!P23="Impacto"),(('Matriz de Riesgos'!N22-('Matriz de Riesgos'!N22*'Valoración del Control'!J23))-(('Matriz de Riesgos'!N22-('Matriz de Riesgos'!N22*'Valoración del Control'!J23))*'Valoración del Control'!T23)),IF(AND('Valoración del Control'!F23="Impacto",'Valoración del Control'!P23="Ninguna"),('Matriz de Riesgos'!N22-('Matriz de Riesgos'!N22*'Valoración del Control'!J23)),IF(AND('Valoración del Control'!F23="Ninguna",'Valoración del Control'!P23="Impacto"),('Matriz de Riesgos'!N22-('Matriz de Riesgos'!N22*'Valoración del Control'!T23)),IF(AND('Valoración del Control'!F23="Ninguna",'Valoración del Control'!P23="Ninguna"),'Matriz de Riesgos'!N22,IF(AND('Valoración del Control'!F23="Impacto y Probabilidad",'Valoración del Control'!P23="Impacto y Probabilidad"),(('Matriz de Riesgos'!N22-('Matriz de Riesgos'!N22*'Valoración del Control'!J23))-(('Matriz de Riesgos'!N22-('Matriz de Riesgos'!N22*'Valoración del Control'!J23))*'Valoración del Control'!T23)),IF(AND('Valoración del Control'!F23="Impacto y Probabilidad",'Valoración del Control'!P23="Ninguna"),('Matriz de Riesgos'!N22-('Matriz de Riesgos'!N22*'Valoración del Control'!J23)),IF(AND('Valoración del Control'!F23="Ninguna",'Valoración del Control'!P23="Impacto y Probabilidad"),('Matriz de Riesgos'!N22-('Matriz de Riesgos'!N22*'Valoración del Control'!T23)),IF(AND('Valoración del Control'!F23="Impacto",'Valoración del Control'!P23="Probabillidad"),('Matriz de Riesgos'!N22-('Matriz de Riesgos'!N22*'Valoración del Control'!J23)),IF(AND('Valoración del Control'!F23="Probabilidad",'Valoración del Control'!P23="Impacto"),('Matriz de Riesgos'!N22-('Matriz de Riesgos'!N22*'Valoración del Control'!T23)),'Matriz de Riesgos'!N22)))))))))</f>
        <v>0.6</v>
      </c>
      <c r="J23" s="517" t="str">
        <f t="shared" si="4"/>
        <v>MediaModerado</v>
      </c>
      <c r="K23" s="518" t="str">
        <f>VLOOKUP(J23,Listas!$L$2:$O$27,4,FALSE)</f>
        <v>Moderado</v>
      </c>
      <c r="L23" s="516" t="str">
        <f t="shared" si="5"/>
        <v>Reducir</v>
      </c>
      <c r="M23" s="519" t="str">
        <f>VLOOKUP('Evaluación-Tratamiento'!L23,Listas!$D$69:$F$72,2,FALSE)</f>
        <v>Tratarlo mediante la transferencia o mitigación</v>
      </c>
      <c r="N23" s="544" t="s">
        <v>459</v>
      </c>
      <c r="O23" s="514" t="s">
        <v>460</v>
      </c>
      <c r="P23" s="521">
        <v>45305</v>
      </c>
      <c r="Q23" s="522">
        <v>0.62</v>
      </c>
      <c r="R23" s="653" t="s">
        <v>671</v>
      </c>
      <c r="S23" s="654"/>
      <c r="T23" s="523" t="s">
        <v>672</v>
      </c>
      <c r="U23" s="524" t="s">
        <v>139</v>
      </c>
    </row>
    <row r="24" spans="2:21" ht="60" customHeight="1" thickBot="1" x14ac:dyDescent="0.3">
      <c r="B24" s="144" t="s">
        <v>267</v>
      </c>
      <c r="C24" s="61" t="str">
        <f>'Matriz de Riesgos'!C23</f>
        <v>Evaluación Independiente</v>
      </c>
      <c r="D24" s="356" t="str">
        <f>'Matriz de Riesgos'!G23</f>
        <v>Posibilidad de No presentar en terminos los informes a los entes de control</v>
      </c>
      <c r="E24" s="63">
        <f>IF('Valoración del Control'!F24="Probabilidad",('Matriz de Riesgos'!K23-('Matriz de Riesgos'!K23*'Valoración del Control'!J24)),IF('Valoración del Control'!F24="Impacto y Probabilidad",('Matriz de Riesgos'!K23-('Matriz de Riesgos'!K23*'Valoración del Control'!J24)),IF('Valoración del Control'!F24="Ninguna","0","")))</f>
        <v>0.36</v>
      </c>
      <c r="F24" s="64" t="str">
        <f>IF(G24&lt;=20%,"Muy Baja",IF(G24&lt;=40%,"Baja",IF(G24&lt;=60%,"Media",IF(G24&lt;=80%,"Alta",IF(G24&lt;=100%,"Muy Alta",'Matriz de Riesgos'!L23)))))</f>
        <v>Baja</v>
      </c>
      <c r="G24" s="63">
        <f>IF(AND('Valoración del Control'!F24="Probabilidad",'Valoración del Control'!P24="Probabilidad"),(E24-(E24* 'Valoración del Control'!T24)),IF(AND('Valoración del Control'!F24="Ninguna",'Valoración del Control'!P24="Probabilidad"),('Matriz de Riesgos'!K23-('Matriz de Riesgos'!K23*'Matriz de Riesgos'!N23)),IF(AND('Valoración del Control'!F24="Probabilidad",'Valoración del Control'!P24="Ninguna"),E24,IF(AND('Valoración del Control'!F24="Impacto y Probabilidad",'Valoración del Control'!P24="Impacto y Probabilidad"),(E24-(E24* 'Valoración del Control'!T24)),IF(AND('Valoración del Control'!F24="Ninguna",'Valoración del Control'!P24="Impacto y Probabilidad"),('Matriz de Riesgos'!K23-('Matriz de Riesgos'!K23*'Matriz de Riesgos'!N23)),IF(AND('Valoración del Control'!F24="Probabilidad",'Valoración del Control'!P24="Ninguna"),E24,'Matriz de Riesgos'!K23))))))</f>
        <v>0.216</v>
      </c>
      <c r="H24" s="64" t="str">
        <f t="shared" si="3"/>
        <v>Catastrofico</v>
      </c>
      <c r="I24" s="63">
        <f>IF(AND('Valoración del Control'!F24="Impacto",'Valoración del Control'!P24="Impacto"),(('Matriz de Riesgos'!N23-('Matriz de Riesgos'!N23*'Valoración del Control'!J24))-(('Matriz de Riesgos'!N23-('Matriz de Riesgos'!N23*'Valoración del Control'!J24))*'Valoración del Control'!T24)),IF(AND('Valoración del Control'!F24="Impacto",'Valoración del Control'!P24="Ninguna"),('Matriz de Riesgos'!N23-('Matriz de Riesgos'!N23*'Valoración del Control'!J24)),IF(AND('Valoración del Control'!F24="Ninguna",'Valoración del Control'!P24="Impacto"),('Matriz de Riesgos'!N23-('Matriz de Riesgos'!N23*'Valoración del Control'!T24)),IF(AND('Valoración del Control'!F24="Ninguna",'Valoración del Control'!P24="Ninguna"),'Matriz de Riesgos'!N23,IF(AND('Valoración del Control'!F24="Impacto y Probabilidad",'Valoración del Control'!P24="Impacto y Probabilidad"),(('Matriz de Riesgos'!N23-('Matriz de Riesgos'!N23*'Valoración del Control'!J24))-(('Matriz de Riesgos'!N23-('Matriz de Riesgos'!N23*'Valoración del Control'!J24))*'Valoración del Control'!T24)),IF(AND('Valoración del Control'!F24="Impacto y Probabilidad",'Valoración del Control'!P24="Ninguna"),('Matriz de Riesgos'!N23-('Matriz de Riesgos'!N23*'Valoración del Control'!J24)),IF(AND('Valoración del Control'!F24="Ninguna",'Valoración del Control'!P24="Impacto y Probabilidad"),('Matriz de Riesgos'!N23-('Matriz de Riesgos'!N23*'Valoración del Control'!T24)),IF(AND('Valoración del Control'!F24="Impacto",'Valoración del Control'!P24="Probabillidad"),('Matriz de Riesgos'!N23-('Matriz de Riesgos'!N23*'Valoración del Control'!J24)),IF(AND('Valoración del Control'!F24="Probabilidad",'Valoración del Control'!P24="Impacto"),('Matriz de Riesgos'!N23-('Matriz de Riesgos'!N23*'Valoración del Control'!T24)),'Matriz de Riesgos'!N23)))))))))</f>
        <v>1</v>
      </c>
      <c r="J24" s="65" t="str">
        <f t="shared" si="4"/>
        <v>BajaCatastrofico</v>
      </c>
      <c r="K24" s="178" t="str">
        <f>VLOOKUP(J24,Listas!$L$2:$O$27,4,FALSE)</f>
        <v>Extremo</v>
      </c>
      <c r="L24" s="64" t="str">
        <f t="shared" si="5"/>
        <v>Evitar</v>
      </c>
      <c r="M24" s="229" t="str">
        <f>VLOOKUP('Evaluación-Tratamiento'!L24,Listas!$D$69:$F$72,2,FALSE)</f>
        <v>NO asumir la actividad que genera este Riesgo</v>
      </c>
      <c r="N24" s="371" t="s">
        <v>381</v>
      </c>
      <c r="O24" s="61" t="s">
        <v>382</v>
      </c>
      <c r="P24" s="375">
        <v>45306</v>
      </c>
      <c r="Q24" s="459">
        <f>+KRI!I23</f>
        <v>1</v>
      </c>
      <c r="R24" s="651" t="s">
        <v>664</v>
      </c>
      <c r="S24" s="652"/>
      <c r="T24" s="512" t="s">
        <v>630</v>
      </c>
      <c r="U24" s="150" t="s">
        <v>139</v>
      </c>
    </row>
    <row r="25" spans="2:21" ht="60" customHeight="1" thickBot="1" x14ac:dyDescent="0.3">
      <c r="B25" s="148" t="s">
        <v>328</v>
      </c>
      <c r="C25" s="61" t="str">
        <f>'Matriz de Riesgos'!C24</f>
        <v>Evaluación Independiente</v>
      </c>
      <c r="D25" s="356" t="str">
        <f>'Matriz de Riesgos'!G24</f>
        <v>Posibilidad de Incumplimiento al cronograma de auditorias y evaluación interna a los procesos</v>
      </c>
      <c r="E25" s="63">
        <f>IF('Valoración del Control'!F25="Probabilidad",('Matriz de Riesgos'!K24-('Matriz de Riesgos'!K24*'Valoración del Control'!J25)),IF('Valoración del Control'!F25="Impacto y Probabilidad",('Matriz de Riesgos'!K24-('Matriz de Riesgos'!K24*'Valoración del Control'!J25)),IF('Valoración del Control'!F25="Ninguna","0","")))</f>
        <v>0.24</v>
      </c>
      <c r="F25" s="64" t="str">
        <f>IF(G25&lt;=20%,"Muy Baja",IF(G25&lt;=40%,"Baja",IF(G25&lt;=60%,"Media",IF(G25&lt;=80%,"Alta",IF(G25&lt;=100%,"Muy Alta",'Matriz de Riesgos'!L24)))))</f>
        <v>Baja</v>
      </c>
      <c r="G25" s="63" t="str">
        <f>IF(AND('Valoración del Control'!F25="Probabilidad",'Valoración del Control'!P25="Probabilidad"),(E25-(E25* 'Valoración del Control'!T25)),IF(AND('Valoración del Control'!F25="Ninguna",'Valoración del Control'!P25="Probabilidad"),('Matriz de Riesgos'!K24-('Matriz de Riesgos'!K24*'Matriz de Riesgos'!N24)),IF(AND('Valoración del Control'!F25="Probabilidad",'Valoración del Control'!P25="Ninguna"),E25,IF(AND('Valoración del Control'!F25="Impacto y Probabilidad",'Valoración del Control'!P25="Impacto y Probabilidad"),(E25-(E25* 'Valoración del Control'!T25)),IF(AND('Valoración del Control'!F25="Ninguna",'Valoración del Control'!P25="Impacto y Probabilidad"),('Matriz de Riesgos'!K24-('Matriz de Riesgos'!K24*'Matriz de Riesgos'!N24)),IF(AND('Valoración del Control'!F25="Probabilidad",'Valoración del Control'!P25="Ninguna"),E25,'Matriz de Riesgos'!K24))))))</f>
        <v>40%</v>
      </c>
      <c r="H25" s="64" t="str">
        <f t="shared" si="3"/>
        <v>Menor</v>
      </c>
      <c r="I25" s="63">
        <f>IF(AND('Valoración del Control'!F25="Impacto",'Valoración del Control'!P25="Impacto"),(('Matriz de Riesgos'!N24-('Matriz de Riesgos'!N24*'Valoración del Control'!J25))-(('Matriz de Riesgos'!N24-('Matriz de Riesgos'!N24*'Valoración del Control'!J25))*'Valoración del Control'!T25)),IF(AND('Valoración del Control'!F25="Impacto",'Valoración del Control'!P25="Ninguna"),('Matriz de Riesgos'!N24-('Matriz de Riesgos'!N24*'Valoración del Control'!J25)),IF(AND('Valoración del Control'!F25="Ninguna",'Valoración del Control'!P25="Impacto"),('Matriz de Riesgos'!N24-('Matriz de Riesgos'!N24*'Valoración del Control'!T25)),IF(AND('Valoración del Control'!F25="Ninguna",'Valoración del Control'!P25="Ninguna"),'Matriz de Riesgos'!N24,IF(AND('Valoración del Control'!F25="Impacto y Probabilidad",'Valoración del Control'!P25="Impacto y Probabilidad"),(('Matriz de Riesgos'!N24-('Matriz de Riesgos'!N24*'Valoración del Control'!J25))-(('Matriz de Riesgos'!N24-('Matriz de Riesgos'!N24*'Valoración del Control'!J25))*'Valoración del Control'!T25)),IF(AND('Valoración del Control'!F25="Impacto y Probabilidad",'Valoración del Control'!P25="Ninguna"),('Matriz de Riesgos'!N24-('Matriz de Riesgos'!N24*'Valoración del Control'!J25)),IF(AND('Valoración del Control'!F25="Ninguna",'Valoración del Control'!P25="Impacto y Probabilidad"),('Matriz de Riesgos'!N24-('Matriz de Riesgos'!N24*'Valoración del Control'!T25)),IF(AND('Valoración del Control'!F25="Impacto",'Valoración del Control'!P25="Probabillidad"),('Matriz de Riesgos'!N24-('Matriz de Riesgos'!N24*'Valoración del Control'!J25)),IF(AND('Valoración del Control'!F25="Probabilidad",'Valoración del Control'!P25="Impacto"),('Matriz de Riesgos'!N24-('Matriz de Riesgos'!N24*'Valoración del Control'!T25)),'Matriz de Riesgos'!N24)))))))))</f>
        <v>0.4</v>
      </c>
      <c r="J25" s="65" t="str">
        <f t="shared" si="4"/>
        <v>BajaMenor</v>
      </c>
      <c r="K25" s="178" t="str">
        <f>VLOOKUP(J25,Listas!$L$2:$O$27,4,FALSE)</f>
        <v>Moderado</v>
      </c>
      <c r="L25" s="64" t="str">
        <f t="shared" si="5"/>
        <v>Reducir</v>
      </c>
      <c r="M25" s="229" t="str">
        <f>VLOOKUP('Evaluación-Tratamiento'!L25,Listas!$D$69:$F$72,2,FALSE)</f>
        <v>Tratarlo mediante la transferencia o mitigación</v>
      </c>
      <c r="N25" s="371" t="s">
        <v>408</v>
      </c>
      <c r="O25" s="61" t="s">
        <v>382</v>
      </c>
      <c r="P25" s="375">
        <v>45307</v>
      </c>
      <c r="Q25" s="459">
        <v>0.86</v>
      </c>
      <c r="R25" s="655" t="s">
        <v>665</v>
      </c>
      <c r="S25" s="656"/>
      <c r="T25" s="512" t="s">
        <v>631</v>
      </c>
      <c r="U25" s="150" t="s">
        <v>139</v>
      </c>
    </row>
    <row r="26" spans="2:21" ht="84.75" customHeight="1" thickBot="1" x14ac:dyDescent="0.3">
      <c r="B26" s="144" t="s">
        <v>329</v>
      </c>
      <c r="C26" s="61" t="str">
        <f>'Matriz de Riesgos'!C25</f>
        <v>Evaluación Independiente</v>
      </c>
      <c r="D26" s="356" t="str">
        <f>'Matriz de Riesgos'!G25</f>
        <v>Posibilidad de Inobservancia e incumplimiento a los planes de mejoramiento producto de las auditorias internas y externas</v>
      </c>
      <c r="E26" s="63">
        <f>IF('Valoración del Control'!F26="Probabilidad",('Matriz de Riesgos'!K25-('Matriz de Riesgos'!K25*'Valoración del Control'!J26)),IF('Valoración del Control'!F26="Impacto y Probabilidad",('Matriz de Riesgos'!K25-('Matriz de Riesgos'!K25*'Valoración del Control'!J26)),IF('Valoración del Control'!F26="Ninguna","0","")))</f>
        <v>0.36</v>
      </c>
      <c r="F26" s="64" t="str">
        <f>IF(G26&lt;=20%,"Muy Baja",IF(G26&lt;=40%,"Baja",IF(G26&lt;=60%,"Media",IF(G26&lt;=80%,"Alta",IF(G26&lt;=100%,"Muy Alta",'Matriz de Riesgos'!L25)))))</f>
        <v>Media</v>
      </c>
      <c r="G26" s="63" t="str">
        <f>IF(AND('Valoración del Control'!F26="Probabilidad",'Valoración del Control'!P26="Probabilidad"),(E26-(E26* 'Valoración del Control'!T26)),IF(AND('Valoración del Control'!F26="Ninguna",'Valoración del Control'!P26="Probabilidad"),('Matriz de Riesgos'!K25-('Matriz de Riesgos'!K25*'Matriz de Riesgos'!N25)),IF(AND('Valoración del Control'!F26="Probabilidad",'Valoración del Control'!P26="Ninguna"),E26,IF(AND('Valoración del Control'!F26="Impacto y Probabilidad",'Valoración del Control'!P26="Impacto y Probabilidad"),(E26-(E26* 'Valoración del Control'!T26)),IF(AND('Valoración del Control'!F26="Ninguna",'Valoración del Control'!P26="Impacto y Probabilidad"),('Matriz de Riesgos'!K25-('Matriz de Riesgos'!K25*'Matriz de Riesgos'!N25)),IF(AND('Valoración del Control'!F26="Probabilidad",'Valoración del Control'!P26="Ninguna"),E26,'Matriz de Riesgos'!K25))))))</f>
        <v>60%</v>
      </c>
      <c r="H26" s="64" t="str">
        <f t="shared" si="3"/>
        <v>Moderado</v>
      </c>
      <c r="I26" s="63">
        <f>IF(AND('Valoración del Control'!F26="Impacto",'Valoración del Control'!P26="Impacto"),(('Matriz de Riesgos'!N25-('Matriz de Riesgos'!N25*'Valoración del Control'!J26))-(('Matriz de Riesgos'!N25-('Matriz de Riesgos'!N25*'Valoración del Control'!J26))*'Valoración del Control'!T26)),IF(AND('Valoración del Control'!F26="Impacto",'Valoración del Control'!P26="Ninguna"),('Matriz de Riesgos'!N25-('Matriz de Riesgos'!N25*'Valoración del Control'!J26)),IF(AND('Valoración del Control'!F26="Ninguna",'Valoración del Control'!P26="Impacto"),('Matriz de Riesgos'!N25-('Matriz de Riesgos'!N25*'Valoración del Control'!T26)),IF(AND('Valoración del Control'!F26="Ninguna",'Valoración del Control'!P26="Ninguna"),'Matriz de Riesgos'!N25,IF(AND('Valoración del Control'!F26="Impacto y Probabilidad",'Valoración del Control'!P26="Impacto y Probabilidad"),(('Matriz de Riesgos'!N25-('Matriz de Riesgos'!N25*'Valoración del Control'!J26))-(('Matriz de Riesgos'!N25-('Matriz de Riesgos'!N25*'Valoración del Control'!J26))*'Valoración del Control'!T26)),IF(AND('Valoración del Control'!F26="Impacto y Probabilidad",'Valoración del Control'!P26="Ninguna"),('Matriz de Riesgos'!N25-('Matriz de Riesgos'!N25*'Valoración del Control'!J26)),IF(AND('Valoración del Control'!F26="Ninguna",'Valoración del Control'!P26="Impacto y Probabilidad"),('Matriz de Riesgos'!N25-('Matriz de Riesgos'!N25*'Valoración del Control'!T26)),IF(AND('Valoración del Control'!F26="Impacto",'Valoración del Control'!P26="Probabillidad"),('Matriz de Riesgos'!N25-('Matriz de Riesgos'!N25*'Valoración del Control'!J26)),IF(AND('Valoración del Control'!F26="Probabilidad",'Valoración del Control'!P26="Impacto"),('Matriz de Riesgos'!N25-('Matriz de Riesgos'!N25*'Valoración del Control'!T26)),'Matriz de Riesgos'!N25)))))))))</f>
        <v>0.6</v>
      </c>
      <c r="J26" s="65" t="str">
        <f t="shared" si="4"/>
        <v>MediaModerado</v>
      </c>
      <c r="K26" s="178" t="str">
        <f>VLOOKUP(J26,Listas!$L$2:$O$27,4,FALSE)</f>
        <v>Moderado</v>
      </c>
      <c r="L26" s="64" t="str">
        <f t="shared" si="5"/>
        <v>Reducir</v>
      </c>
      <c r="M26" s="229" t="str">
        <f>VLOOKUP('Evaluación-Tratamiento'!L26,Listas!$D$69:$F$72,2,FALSE)</f>
        <v>Tratarlo mediante la transferencia o mitigación</v>
      </c>
      <c r="N26" s="372" t="s">
        <v>383</v>
      </c>
      <c r="O26" s="61" t="s">
        <v>382</v>
      </c>
      <c r="P26" s="375">
        <v>45292</v>
      </c>
      <c r="Q26" s="459">
        <v>0.48</v>
      </c>
      <c r="R26" s="655" t="s">
        <v>666</v>
      </c>
      <c r="S26" s="656"/>
      <c r="T26" s="512" t="s">
        <v>632</v>
      </c>
      <c r="U26" s="150" t="s">
        <v>139</v>
      </c>
    </row>
    <row r="27" spans="2:21" ht="78.75" customHeight="1" thickBot="1" x14ac:dyDescent="0.3">
      <c r="B27" s="148" t="s">
        <v>330</v>
      </c>
      <c r="C27" s="61" t="str">
        <f>'Matriz de Riesgos'!C26</f>
        <v>Gestión Jurídica</v>
      </c>
      <c r="D27" s="356" t="str">
        <f>'Matriz de Riesgos'!G26</f>
        <v>Posibilidad de Dilación o incumplimiento de terminos en relación con Derechos de Petición y/o procesos judiciales.</v>
      </c>
      <c r="E27" s="63">
        <f>IF('Valoración del Control'!F27="Probabilidad",('Matriz de Riesgos'!K26-('Matriz de Riesgos'!K26*'Valoración del Control'!J27)),IF('Valoración del Control'!F27="Impacto y Probabilidad",('Matriz de Riesgos'!K26-('Matriz de Riesgos'!K26*'Valoración del Control'!J27)),IF('Valoración del Control'!F27="Ninguna","0","")))</f>
        <v>0.28000000000000003</v>
      </c>
      <c r="F27" s="64" t="str">
        <f>IF(G27&lt;=20%,"Muy Baja",IF(G27&lt;=40%,"Baja",IF(G27&lt;=60%,"Media",IF(G27&lt;=80%,"Alta",IF(G27&lt;=100%,"Muy Alta",'Matriz de Riesgos'!L26)))))</f>
        <v>Muy Baja</v>
      </c>
      <c r="G27" s="63">
        <f>IF(AND('Valoración del Control'!F27="Probabilidad",'Valoración del Control'!P27="Probabilidad"),(E27-(E27* 'Valoración del Control'!T27)),IF(AND('Valoración del Control'!F27="Ninguna",'Valoración del Control'!P27="Probabilidad"),('Matriz de Riesgos'!K26-('Matriz de Riesgos'!K26*'Matriz de Riesgos'!N26)),IF(AND('Valoración del Control'!F27="Probabilidad",'Valoración del Control'!P27="Ninguna"),E27,IF(AND('Valoración del Control'!F27="Impacto y Probabilidad",'Valoración del Control'!P27="Impacto y Probabilidad"),(E27-(E27* 'Valoración del Control'!T27)),IF(AND('Valoración del Control'!F27="Ninguna",'Valoración del Control'!P27="Impacto y Probabilidad"),('Matriz de Riesgos'!K26-('Matriz de Riesgos'!K26*'Matriz de Riesgos'!N26)),IF(AND('Valoración del Control'!F27="Probabilidad",'Valoración del Control'!P27="Ninguna"),E27,'Matriz de Riesgos'!K26))))))</f>
        <v>0.19600000000000001</v>
      </c>
      <c r="H27" s="64" t="str">
        <f t="shared" si="3"/>
        <v>Menor</v>
      </c>
      <c r="I27" s="63">
        <f>IF(AND('Valoración del Control'!F27="Impacto",'Valoración del Control'!P27="Impacto"),(('Matriz de Riesgos'!N26-('Matriz de Riesgos'!N26*'Valoración del Control'!J27))-(('Matriz de Riesgos'!N26-('Matriz de Riesgos'!N26*'Valoración del Control'!J27))*'Valoración del Control'!T27)),IF(AND('Valoración del Control'!F27="Impacto",'Valoración del Control'!P27="Ninguna"),('Matriz de Riesgos'!N26-('Matriz de Riesgos'!N26*'Valoración del Control'!J27)),IF(AND('Valoración del Control'!F27="Ninguna",'Valoración del Control'!P27="Impacto"),('Matriz de Riesgos'!N26-('Matriz de Riesgos'!N26*'Valoración del Control'!T27)),IF(AND('Valoración del Control'!F27="Ninguna",'Valoración del Control'!P27="Ninguna"),'Matriz de Riesgos'!N26,IF(AND('Valoración del Control'!F27="Impacto y Probabilidad",'Valoración del Control'!P27="Impacto y Probabilidad"),(('Matriz de Riesgos'!N26-('Matriz de Riesgos'!N26*'Valoración del Control'!J27))-(('Matriz de Riesgos'!N26-('Matriz de Riesgos'!N26*'Valoración del Control'!J27))*'Valoración del Control'!T27)),IF(AND('Valoración del Control'!F27="Impacto y Probabilidad",'Valoración del Control'!P27="Ninguna"),('Matriz de Riesgos'!N26-('Matriz de Riesgos'!N26*'Valoración del Control'!J27)),IF(AND('Valoración del Control'!F27="Ninguna",'Valoración del Control'!P27="Impacto y Probabilidad"),('Matriz de Riesgos'!N26-('Matriz de Riesgos'!N26*'Valoración del Control'!T27)),IF(AND('Valoración del Control'!F27="Impacto",'Valoración del Control'!P27="Probabillidad"),('Matriz de Riesgos'!N26-('Matriz de Riesgos'!N26*'Valoración del Control'!J27)),IF(AND('Valoración del Control'!F27="Probabilidad",'Valoración del Control'!P27="Impacto"),('Matriz de Riesgos'!N26-('Matriz de Riesgos'!N26*'Valoración del Control'!T27)),'Matriz de Riesgos'!N26)))))))))</f>
        <v>0.39200000000000002</v>
      </c>
      <c r="J27" s="65" t="str">
        <f t="shared" si="4"/>
        <v>Muy BajaMenor</v>
      </c>
      <c r="K27" s="178" t="str">
        <f>VLOOKUP(J27,Listas!$L$2:$O$27,4,FALSE)</f>
        <v>Bajo</v>
      </c>
      <c r="L27" s="64" t="str">
        <f t="shared" si="5"/>
        <v>Aceptar</v>
      </c>
      <c r="M27" s="229" t="str">
        <f>VLOOKUP('Evaluación-Tratamiento'!L27,Listas!$D$69:$F$72,2,FALSE)</f>
        <v>Asumir el riesgo conociendo los efectos de su posible materialización</v>
      </c>
      <c r="N27" s="371" t="s">
        <v>636</v>
      </c>
      <c r="O27" s="61" t="s">
        <v>385</v>
      </c>
      <c r="P27" s="375">
        <v>45309</v>
      </c>
      <c r="Q27" s="459">
        <v>0.98</v>
      </c>
      <c r="R27" s="651" t="s">
        <v>667</v>
      </c>
      <c r="S27" s="652"/>
      <c r="T27" s="511" t="s">
        <v>669</v>
      </c>
      <c r="U27" s="150" t="s">
        <v>140</v>
      </c>
    </row>
    <row r="28" spans="2:21" ht="60" customHeight="1" thickBot="1" x14ac:dyDescent="0.3">
      <c r="B28" s="144" t="s">
        <v>331</v>
      </c>
      <c r="C28" s="61" t="str">
        <f>'Matriz de Riesgos'!C27</f>
        <v>Gestión Jurídica</v>
      </c>
      <c r="D28" s="356" t="str">
        <f>'Matriz de Riesgos'!G27</f>
        <v xml:space="preserve">Posibilidad de Incumplimiento de las metas de plan de desarrollo relacionadas con la adquisición predial </v>
      </c>
      <c r="E28" s="63">
        <f>IF('Valoración del Control'!F28="Probabilidad",('Matriz de Riesgos'!K27-('Matriz de Riesgos'!K27*'Valoración del Control'!J28)),IF('Valoración del Control'!F28="Impacto y Probabilidad",('Matriz de Riesgos'!K27-('Matriz de Riesgos'!K27*'Valoración del Control'!J28)),IF('Valoración del Control'!F28="Ninguna","0","")))</f>
        <v>0.24</v>
      </c>
      <c r="F28" s="64" t="str">
        <f>IF(G28&lt;=20%,"Muy Baja",IF(G28&lt;=40%,"Baja",IF(G28&lt;=60%,"Media",IF(G28&lt;=80%,"Alta",IF(G28&lt;=100%,"Muy Alta",'Matriz de Riesgos'!L27)))))</f>
        <v>Baja</v>
      </c>
      <c r="G28" s="63" t="str">
        <f>IF(AND('Valoración del Control'!F28="Probabilidad",'Valoración del Control'!P28="Probabilidad"),(E28-(E28* 'Valoración del Control'!T28)),IF(AND('Valoración del Control'!F28="Ninguna",'Valoración del Control'!P28="Probabilidad"),('Matriz de Riesgos'!K27-('Matriz de Riesgos'!K27*'Matriz de Riesgos'!N27)),IF(AND('Valoración del Control'!F28="Probabilidad",'Valoración del Control'!P28="Ninguna"),E28,IF(AND('Valoración del Control'!F28="Impacto y Probabilidad",'Valoración del Control'!P28="Impacto y Probabilidad"),(E28-(E28* 'Valoración del Control'!T28)),IF(AND('Valoración del Control'!F28="Ninguna",'Valoración del Control'!P28="Impacto y Probabilidad"),('Matriz de Riesgos'!K27-('Matriz de Riesgos'!K27*'Matriz de Riesgos'!N27)),IF(AND('Valoración del Control'!F28="Probabilidad",'Valoración del Control'!P28="Ninguna"),E28,'Matriz de Riesgos'!K27))))))</f>
        <v>40%</v>
      </c>
      <c r="H28" s="64" t="str">
        <f t="shared" si="3"/>
        <v>Mayor</v>
      </c>
      <c r="I28" s="63">
        <f>IF(AND('Valoración del Control'!F28="Impacto",'Valoración del Control'!P28="Impacto"),(('Matriz de Riesgos'!N27-('Matriz de Riesgos'!N27*'Valoración del Control'!J28))-(('Matriz de Riesgos'!N27-('Matriz de Riesgos'!N27*'Valoración del Control'!J28))*'Valoración del Control'!T28)),IF(AND('Valoración del Control'!F28="Impacto",'Valoración del Control'!P28="Ninguna"),('Matriz de Riesgos'!N27-('Matriz de Riesgos'!N27*'Valoración del Control'!J28)),IF(AND('Valoración del Control'!F28="Ninguna",'Valoración del Control'!P28="Impacto"),('Matriz de Riesgos'!N27-('Matriz de Riesgos'!N27*'Valoración del Control'!T28)),IF(AND('Valoración del Control'!F28="Ninguna",'Valoración del Control'!P28="Ninguna"),'Matriz de Riesgos'!N27,IF(AND('Valoración del Control'!F28="Impacto y Probabilidad",'Valoración del Control'!P28="Impacto y Probabilidad"),(('Matriz de Riesgos'!N27-('Matriz de Riesgos'!N27*'Valoración del Control'!J28))-(('Matriz de Riesgos'!N27-('Matriz de Riesgos'!N27*'Valoración del Control'!J28))*'Valoración del Control'!T28)),IF(AND('Valoración del Control'!F28="Impacto y Probabilidad",'Valoración del Control'!P28="Ninguna"),('Matriz de Riesgos'!N27-('Matriz de Riesgos'!N27*'Valoración del Control'!J28)),IF(AND('Valoración del Control'!F28="Ninguna",'Valoración del Control'!P28="Impacto y Probabilidad"),('Matriz de Riesgos'!N27-('Matriz de Riesgos'!N27*'Valoración del Control'!T28)),IF(AND('Valoración del Control'!F28="Impacto",'Valoración del Control'!P28="Probabillidad"),('Matriz de Riesgos'!N27-('Matriz de Riesgos'!N27*'Valoración del Control'!J28)),IF(AND('Valoración del Control'!F28="Probabilidad",'Valoración del Control'!P28="Impacto"),('Matriz de Riesgos'!N27-('Matriz de Riesgos'!N27*'Valoración del Control'!T28)),'Matriz de Riesgos'!N27)))))))))</f>
        <v>0.8</v>
      </c>
      <c r="J28" s="65" t="str">
        <f t="shared" si="4"/>
        <v>BajaMayor</v>
      </c>
      <c r="K28" s="178" t="str">
        <f>VLOOKUP(J28,Listas!$L$2:$O$27,4,FALSE)</f>
        <v>Alto</v>
      </c>
      <c r="L28" s="64" t="str">
        <f t="shared" si="5"/>
        <v>Reducir</v>
      </c>
      <c r="M28" s="229" t="str">
        <f>VLOOKUP('Evaluación-Tratamiento'!L28,Listas!$D$69:$F$72,2,FALSE)</f>
        <v>Tratarlo mediante la transferencia o mitigación</v>
      </c>
      <c r="N28" s="371" t="s">
        <v>386</v>
      </c>
      <c r="O28" s="61" t="s">
        <v>385</v>
      </c>
      <c r="P28" s="375">
        <v>45310</v>
      </c>
      <c r="Q28" s="459">
        <v>1</v>
      </c>
      <c r="R28" s="651" t="s">
        <v>668</v>
      </c>
      <c r="S28" s="652"/>
      <c r="T28" s="511" t="s">
        <v>669</v>
      </c>
      <c r="U28" s="150" t="s">
        <v>140</v>
      </c>
    </row>
    <row r="29" spans="2:21" ht="193.5" customHeight="1" thickBot="1" x14ac:dyDescent="0.3">
      <c r="B29" s="148" t="s">
        <v>332</v>
      </c>
      <c r="C29" s="61" t="str">
        <f>'Matriz de Riesgos'!C28</f>
        <v>Planificación Institucional</v>
      </c>
      <c r="D29" s="356" t="str">
        <f>'Matriz de Riesgos'!G28</f>
        <v>Posibilidad de Retraso e incumpliemiento en los reportes periódicos en materia de metas y ejecución prespuestal co respecto a lo establecido en el Plan de Desarrollo</v>
      </c>
      <c r="E29" s="63">
        <f>IF('Valoración del Control'!F29="Probabilidad",('Matriz de Riesgos'!K28-('Matriz de Riesgos'!K28*'Valoración del Control'!J29)),IF('Valoración del Control'!F29="Impacto y Probabilidad",('Matriz de Riesgos'!K28-('Matriz de Riesgos'!K28*'Valoración del Control'!J29)),IF('Valoración del Control'!F29="Ninguna","0","")))</f>
        <v>0.14000000000000001</v>
      </c>
      <c r="F29" s="64" t="str">
        <f>IF(G29&lt;=20%,"Muy Baja",IF(G29&lt;=40%,"Baja",IF(G29&lt;=60%,"Media",IF(G29&lt;=80%,"Alta",IF(G29&lt;=100%,"Muy Alta",'Matriz de Riesgos'!L28)))))</f>
        <v>Muy Baja</v>
      </c>
      <c r="G29" s="63">
        <f>IF(AND('Valoración del Control'!F29="Probabilidad",'Valoración del Control'!P29="Probabilidad"),(E29-(E29* 'Valoración del Control'!T29)),IF(AND('Valoración del Control'!F29="Ninguna",'Valoración del Control'!P29="Probabilidad"),('Matriz de Riesgos'!K28-('Matriz de Riesgos'!K28*'Matriz de Riesgos'!N28)),IF(AND('Valoración del Control'!F29="Probabilidad",'Valoración del Control'!P29="Ninguna"),E29,IF(AND('Valoración del Control'!F29="Impacto y Probabilidad",'Valoración del Control'!P29="Impacto y Probabilidad"),(E29-(E29* 'Valoración del Control'!T29)),IF(AND('Valoración del Control'!F29="Ninguna",'Valoración del Control'!P29="Impacto y Probabilidad"),('Matriz de Riesgos'!K28-('Matriz de Riesgos'!K28*'Matriz de Riesgos'!N28)),IF(AND('Valoración del Control'!F29="Probabilidad",'Valoración del Control'!P29="Ninguna"),E29,'Matriz de Riesgos'!K28))))))</f>
        <v>8.4000000000000005E-2</v>
      </c>
      <c r="H29" s="64" t="str">
        <f t="shared" si="3"/>
        <v>Menor</v>
      </c>
      <c r="I29" s="63">
        <f>IF(AND('Valoración del Control'!F29="Impacto",'Valoración del Control'!P29="Impacto"),(('Matriz de Riesgos'!N28-('Matriz de Riesgos'!N28*'Valoración del Control'!J29))-(('Matriz de Riesgos'!N28-('Matriz de Riesgos'!N28*'Valoración del Control'!J29))*'Valoración del Control'!T29)),IF(AND('Valoración del Control'!F29="Impacto",'Valoración del Control'!P29="Ninguna"),('Matriz de Riesgos'!N28-('Matriz de Riesgos'!N28*'Valoración del Control'!J29)),IF(AND('Valoración del Control'!F29="Ninguna",'Valoración del Control'!P29="Impacto"),('Matriz de Riesgos'!N28-('Matriz de Riesgos'!N28*'Valoración del Control'!T29)),IF(AND('Valoración del Control'!F29="Ninguna",'Valoración del Control'!P29="Ninguna"),'Matriz de Riesgos'!N28,IF(AND('Valoración del Control'!F29="Impacto y Probabilidad",'Valoración del Control'!P29="Impacto y Probabilidad"),(('Matriz de Riesgos'!N28-('Matriz de Riesgos'!N28*'Valoración del Control'!J29))-(('Matriz de Riesgos'!N28-('Matriz de Riesgos'!N28*'Valoración del Control'!J29))*'Valoración del Control'!T29)),IF(AND('Valoración del Control'!F29="Impacto y Probabilidad",'Valoración del Control'!P29="Ninguna"),('Matriz de Riesgos'!N28-('Matriz de Riesgos'!N28*'Valoración del Control'!J29)),IF(AND('Valoración del Control'!F29="Ninguna",'Valoración del Control'!P29="Impacto y Probabilidad"),('Matriz de Riesgos'!N28-('Matriz de Riesgos'!N28*'Valoración del Control'!T29)),IF(AND('Valoración del Control'!F29="Impacto",'Valoración del Control'!P29="Probabillidad"),('Matriz de Riesgos'!N28-('Matriz de Riesgos'!N28*'Valoración del Control'!J29)),IF(AND('Valoración del Control'!F29="Probabilidad",'Valoración del Control'!P29="Impacto"),('Matriz de Riesgos'!N28-('Matriz de Riesgos'!N28*'Valoración del Control'!T29)),'Matriz de Riesgos'!N28)))))))))</f>
        <v>0.252</v>
      </c>
      <c r="J29" s="65" t="str">
        <f t="shared" si="4"/>
        <v>Muy BajaMenor</v>
      </c>
      <c r="K29" s="178" t="str">
        <f>VLOOKUP(J29,Listas!$L$2:$O$27,4,FALSE)</f>
        <v>Bajo</v>
      </c>
      <c r="L29" s="64" t="str">
        <f t="shared" si="5"/>
        <v>Aceptar</v>
      </c>
      <c r="M29" s="229" t="str">
        <f>VLOOKUP('Evaluación-Tratamiento'!L29,Listas!$D$69:$F$72,2,FALSE)</f>
        <v>Asumir el riesgo conociendo los efectos de su posible materialización</v>
      </c>
      <c r="N29" s="370" t="s">
        <v>387</v>
      </c>
      <c r="O29" s="61" t="s">
        <v>388</v>
      </c>
      <c r="P29" s="375">
        <v>45311</v>
      </c>
      <c r="Q29" s="459">
        <v>0.98</v>
      </c>
      <c r="R29" s="651" t="s">
        <v>638</v>
      </c>
      <c r="S29" s="652"/>
      <c r="T29" s="468" t="s">
        <v>637</v>
      </c>
      <c r="U29" s="150" t="s">
        <v>139</v>
      </c>
    </row>
    <row r="30" spans="2:21" ht="106.5" customHeight="1" thickBot="1" x14ac:dyDescent="0.3">
      <c r="B30" s="144" t="s">
        <v>333</v>
      </c>
      <c r="C30" s="61" t="str">
        <f>'Matriz de Riesgos'!C29</f>
        <v>Contratación</v>
      </c>
      <c r="D30" s="356" t="str">
        <f>'Matriz de Riesgos'!G29</f>
        <v>Posibilidad de retrasos en los reportes del SECOP II conforme al calendario establecido.</v>
      </c>
      <c r="E30" s="63">
        <f>IF('Valoración del Control'!F30="Probabilidad",('Matriz de Riesgos'!K29-('Matriz de Riesgos'!K29*'Valoración del Control'!J30)),IF('Valoración del Control'!F30="Impacto y Probabilidad",('Matriz de Riesgos'!K29-('Matriz de Riesgos'!K29*'Valoración del Control'!J30)),IF('Valoración del Control'!F30="Ninguna","0","")))</f>
        <v>0.24</v>
      </c>
      <c r="F30" s="64" t="str">
        <f>IF(G30&lt;=20%,"Muy Baja",IF(G30&lt;=40%,"Baja",IF(G30&lt;=60%,"Media",IF(G30&lt;=80%,"Alta",IF(G30&lt;=100%,"Muy Alta",'Matriz de Riesgos'!L29)))))</f>
        <v>Baja</v>
      </c>
      <c r="G30" s="63" t="str">
        <f>IF(AND('Valoración del Control'!F30="Probabilidad",'Valoración del Control'!P30="Probabilidad"),(E30-(E30* 'Valoración del Control'!T30)),IF(AND('Valoración del Control'!F30="Ninguna",'Valoración del Control'!P30="Probabilidad"),('Matriz de Riesgos'!K29-('Matriz de Riesgos'!K29*'Matriz de Riesgos'!N29)),IF(AND('Valoración del Control'!F30="Probabilidad",'Valoración del Control'!P30="Ninguna"),E30,IF(AND('Valoración del Control'!F30="Impacto y Probabilidad",'Valoración del Control'!P30="Impacto y Probabilidad"),(E30-(E30* 'Valoración del Control'!T30)),IF(AND('Valoración del Control'!F30="Ninguna",'Valoración del Control'!P30="Impacto y Probabilidad"),('Matriz de Riesgos'!K29-('Matriz de Riesgos'!K29*'Matriz de Riesgos'!N29)),IF(AND('Valoración del Control'!F30="Probabilidad",'Valoración del Control'!P30="Ninguna"),E30,'Matriz de Riesgos'!K29))))))</f>
        <v>40%</v>
      </c>
      <c r="H30" s="64" t="str">
        <f t="shared" si="3"/>
        <v>Leve</v>
      </c>
      <c r="I30" s="63">
        <f>IF(AND('Valoración del Control'!F30="Impacto",'Valoración del Control'!P30="Impacto"),(('Matriz de Riesgos'!N29-('Matriz de Riesgos'!N29*'Valoración del Control'!J30))-(('Matriz de Riesgos'!N29-('Matriz de Riesgos'!N29*'Valoración del Control'!J30))*'Valoración del Control'!T30)),IF(AND('Valoración del Control'!F30="Impacto",'Valoración del Control'!P30="Ninguna"),('Matriz de Riesgos'!N29-('Matriz de Riesgos'!N29*'Valoración del Control'!J30)),IF(AND('Valoración del Control'!F30="Ninguna",'Valoración del Control'!P30="Impacto"),('Matriz de Riesgos'!N29-('Matriz de Riesgos'!N29*'Valoración del Control'!T30)),IF(AND('Valoración del Control'!F30="Ninguna",'Valoración del Control'!P30="Ninguna"),'Matriz de Riesgos'!N29,IF(AND('Valoración del Control'!F30="Impacto y Probabilidad",'Valoración del Control'!P30="Impacto y Probabilidad"),(('Matriz de Riesgos'!N29-('Matriz de Riesgos'!N29*'Valoración del Control'!J30))-(('Matriz de Riesgos'!N29-('Matriz de Riesgos'!N29*'Valoración del Control'!J30))*'Valoración del Control'!T30)),IF(AND('Valoración del Control'!F30="Impacto y Probabilidad",'Valoración del Control'!P30="Ninguna"),('Matriz de Riesgos'!N29-('Matriz de Riesgos'!N29*'Valoración del Control'!J30)),IF(AND('Valoración del Control'!F30="Ninguna",'Valoración del Control'!P30="Impacto y Probabilidad"),('Matriz de Riesgos'!N29-('Matriz de Riesgos'!N29*'Valoración del Control'!T30)),IF(AND('Valoración del Control'!F30="Impacto",'Valoración del Control'!P30="Probabillidad"),('Matriz de Riesgos'!N29-('Matriz de Riesgos'!N29*'Valoración del Control'!J30)),IF(AND('Valoración del Control'!F30="Probabilidad",'Valoración del Control'!P30="Impacto"),('Matriz de Riesgos'!N29-('Matriz de Riesgos'!N29*'Valoración del Control'!T30)),'Matriz de Riesgos'!N29)))))))))</f>
        <v>0.2</v>
      </c>
      <c r="J30" s="65" t="str">
        <f t="shared" si="4"/>
        <v>BajaLeve</v>
      </c>
      <c r="K30" s="178" t="str">
        <f>VLOOKUP(J30,Listas!$L$2:$O$27,4,FALSE)</f>
        <v>Bajo</v>
      </c>
      <c r="L30" s="64" t="str">
        <f t="shared" si="5"/>
        <v>Aceptar</v>
      </c>
      <c r="M30" s="229" t="str">
        <f>VLOOKUP('Evaluación-Tratamiento'!L30,Listas!$D$69:$F$72,2,FALSE)</f>
        <v>Asumir el riesgo conociendo los efectos de su posible materialización</v>
      </c>
      <c r="N30" s="373" t="s">
        <v>389</v>
      </c>
      <c r="O30" s="72" t="s">
        <v>390</v>
      </c>
      <c r="P30" s="375">
        <v>45292</v>
      </c>
      <c r="Q30" s="459">
        <v>0.8</v>
      </c>
      <c r="R30" s="651" t="s">
        <v>670</v>
      </c>
      <c r="S30" s="652"/>
      <c r="T30" s="523" t="s">
        <v>625</v>
      </c>
      <c r="U30" s="150" t="s">
        <v>140</v>
      </c>
    </row>
    <row r="31" spans="2:21" ht="60" customHeight="1" thickBot="1" x14ac:dyDescent="0.3">
      <c r="B31" s="148" t="s">
        <v>334</v>
      </c>
      <c r="C31" s="61" t="str">
        <f>'Matriz de Riesgos'!C30</f>
        <v>Contratación</v>
      </c>
      <c r="D31" s="356" t="str">
        <f>'Matriz de Riesgos'!G30</f>
        <v>Posibilidad de Incumplimiento del contrato por cualquiera de las partes interesadas.</v>
      </c>
      <c r="E31" s="63">
        <f>IF('Valoración del Control'!F31="Probabilidad",('Matriz de Riesgos'!K30-('Matriz de Riesgos'!K30*'Valoración del Control'!J31)),IF('Valoración del Control'!F31="Impacto y Probabilidad",('Matriz de Riesgos'!K30-('Matriz de Riesgos'!K30*'Valoración del Control'!J31)),IF('Valoración del Control'!F31="Ninguna","0","")))</f>
        <v>0.12</v>
      </c>
      <c r="F31" s="64" t="str">
        <f>IF(G31&lt;=20%,"Muy Baja",IF(G31&lt;=40%,"Baja",IF(G31&lt;=60%,"Media",IF(G31&lt;=80%,"Alta",IF(G31&lt;=100%,"Muy Alta",'Matriz de Riesgos'!L30)))))</f>
        <v>Muy Baja</v>
      </c>
      <c r="G31" s="63" t="str">
        <f>IF(AND('Valoración del Control'!F31="Probabilidad",'Valoración del Control'!P31="Probabilidad"),(E31-(E31* 'Valoración del Control'!T31)),IF(AND('Valoración del Control'!F31="Ninguna",'Valoración del Control'!P31="Probabilidad"),('Matriz de Riesgos'!K30-('Matriz de Riesgos'!K30*'Matriz de Riesgos'!N30)),IF(AND('Valoración del Control'!F31="Probabilidad",'Valoración del Control'!P31="Ninguna"),E31,IF(AND('Valoración del Control'!F31="Impacto y Probabilidad",'Valoración del Control'!P31="Impacto y Probabilidad"),(E31-(E31* 'Valoración del Control'!T31)),IF(AND('Valoración del Control'!F31="Ninguna",'Valoración del Control'!P31="Impacto y Probabilidad"),('Matriz de Riesgos'!K30-('Matriz de Riesgos'!K30*'Matriz de Riesgos'!N30)),IF(AND('Valoración del Control'!F31="Probabilidad",'Valoración del Control'!P31="Ninguna"),E31,'Matriz de Riesgos'!K30))))))</f>
        <v>20%</v>
      </c>
      <c r="H31" s="64" t="str">
        <f t="shared" si="3"/>
        <v>Mayor</v>
      </c>
      <c r="I31" s="63">
        <f>IF(AND('Valoración del Control'!F31="Impacto",'Valoración del Control'!P31="Impacto"),(('Matriz de Riesgos'!N30-('Matriz de Riesgos'!N30*'Valoración del Control'!J31))-(('Matriz de Riesgos'!N30-('Matriz de Riesgos'!N30*'Valoración del Control'!J31))*'Valoración del Control'!T31)),IF(AND('Valoración del Control'!F31="Impacto",'Valoración del Control'!P31="Ninguna"),('Matriz de Riesgos'!N30-('Matriz de Riesgos'!N30*'Valoración del Control'!J31)),IF(AND('Valoración del Control'!F31="Ninguna",'Valoración del Control'!P31="Impacto"),('Matriz de Riesgos'!N30-('Matriz de Riesgos'!N30*'Valoración del Control'!T31)),IF(AND('Valoración del Control'!F31="Ninguna",'Valoración del Control'!P31="Ninguna"),'Matriz de Riesgos'!N30,IF(AND('Valoración del Control'!F31="Impacto y Probabilidad",'Valoración del Control'!P31="Impacto y Probabilidad"),(('Matriz de Riesgos'!N30-('Matriz de Riesgos'!N30*'Valoración del Control'!J31))-(('Matriz de Riesgos'!N30-('Matriz de Riesgos'!N30*'Valoración del Control'!J31))*'Valoración del Control'!T31)),IF(AND('Valoración del Control'!F31="Impacto y Probabilidad",'Valoración del Control'!P31="Ninguna"),('Matriz de Riesgos'!N30-('Matriz de Riesgos'!N30*'Valoración del Control'!J31)),IF(AND('Valoración del Control'!F31="Ninguna",'Valoración del Control'!P31="Impacto y Probabilidad"),('Matriz de Riesgos'!N30-('Matriz de Riesgos'!N30*'Valoración del Control'!T31)),IF(AND('Valoración del Control'!F31="Impacto",'Valoración del Control'!P31="Probabillidad"),('Matriz de Riesgos'!N30-('Matriz de Riesgos'!N30*'Valoración del Control'!J31)),IF(AND('Valoración del Control'!F31="Probabilidad",'Valoración del Control'!P31="Impacto"),('Matriz de Riesgos'!N30-('Matriz de Riesgos'!N30*'Valoración del Control'!T31)),'Matriz de Riesgos'!N30)))))))))</f>
        <v>0.8</v>
      </c>
      <c r="J31" s="65" t="str">
        <f t="shared" si="4"/>
        <v>Muy BajaMayor</v>
      </c>
      <c r="K31" s="178" t="str">
        <f>VLOOKUP(J31,Listas!$L$2:$O$27,4,FALSE)</f>
        <v>Alto</v>
      </c>
      <c r="L31" s="64" t="str">
        <f t="shared" si="5"/>
        <v>Reducir</v>
      </c>
      <c r="M31" s="229" t="str">
        <f>VLOOKUP('Evaluación-Tratamiento'!L31,Listas!$D$69:$F$72,2,FALSE)</f>
        <v>Tratarlo mediante la transferencia o mitigación</v>
      </c>
      <c r="N31" s="373" t="s">
        <v>436</v>
      </c>
      <c r="O31" s="407" t="s">
        <v>437</v>
      </c>
      <c r="P31" s="375">
        <v>45292</v>
      </c>
      <c r="Q31" s="459">
        <v>1</v>
      </c>
      <c r="R31" s="651" t="s">
        <v>646</v>
      </c>
      <c r="S31" s="652"/>
      <c r="T31" s="523" t="s">
        <v>625</v>
      </c>
      <c r="U31" s="150" t="s">
        <v>140</v>
      </c>
    </row>
    <row r="32" spans="2:21" ht="86.25" customHeight="1" thickBot="1" x14ac:dyDescent="0.3">
      <c r="B32" s="144" t="s">
        <v>335</v>
      </c>
      <c r="C32" s="61" t="str">
        <f>'Matriz de Riesgos'!C31</f>
        <v>Espacio Público</v>
      </c>
      <c r="D32" s="356" t="str">
        <f>'Matriz de Riesgos'!G31</f>
        <v>Posibilidad de generar un concepto equivocado respecto a solicitud de consulta de la norma de ordenamiento territorial vigente.</v>
      </c>
      <c r="E32" s="63">
        <f>IF('Valoración del Control'!F32="Probabilidad",('Matriz de Riesgos'!K31-('Matriz de Riesgos'!K31*'Valoración del Control'!J32)),IF('Valoración del Control'!F32="Impacto y Probabilidad",('Matriz de Riesgos'!K31-('Matriz de Riesgos'!K31*'Valoración del Control'!J32)),IF('Valoración del Control'!F32="Ninguna","0","")))</f>
        <v>0.12</v>
      </c>
      <c r="F32" s="64" t="str">
        <f>IF(G32&lt;=20%,"Muy Baja",IF(G32&lt;=40%,"Baja",IF(G32&lt;=60%,"Media",IF(G32&lt;=80%,"Alta",IF(G32&lt;=100%,"Muy Alta",'Matriz de Riesgos'!L31)))))</f>
        <v>Muy Baja</v>
      </c>
      <c r="G32" s="63" t="str">
        <f>IF(AND('Valoración del Control'!F32="Probabilidad",'Valoración del Control'!P32="Probabilidad"),(E32-(E32* 'Valoración del Control'!T32)),IF(AND('Valoración del Control'!F32="Ninguna",'Valoración del Control'!P32="Probabilidad"),('Matriz de Riesgos'!K31-('Matriz de Riesgos'!K31*'Matriz de Riesgos'!N31)),IF(AND('Valoración del Control'!F32="Probabilidad",'Valoración del Control'!P32="Ninguna"),E32,IF(AND('Valoración del Control'!F32="Impacto y Probabilidad",'Valoración del Control'!P32="Impacto y Probabilidad"),(E32-(E32* 'Valoración del Control'!T32)),IF(AND('Valoración del Control'!F32="Ninguna",'Valoración del Control'!P32="Impacto y Probabilidad"),('Matriz de Riesgos'!K31-('Matriz de Riesgos'!K31*'Matriz de Riesgos'!N31)),IF(AND('Valoración del Control'!F32="Probabilidad",'Valoración del Control'!P32="Ninguna"),E32,'Matriz de Riesgos'!K31))))))</f>
        <v>20%</v>
      </c>
      <c r="H32" s="64" t="str">
        <f t="shared" ref="H32" si="6">IF(I32&lt;=20%,"Leve",IF(I32&lt;=40%,"Menor",IF(I32&lt;=60%,"Moderado",IF(I32&lt;=80%,"Mayor",IF(I32&lt;=100%,"Catastrofico")))))</f>
        <v>Mayor</v>
      </c>
      <c r="I32" s="63">
        <f>IF(AND('Valoración del Control'!F32="Impacto",'Valoración del Control'!P32="Impacto"),(('Matriz de Riesgos'!N31-('Matriz de Riesgos'!N31*'Valoración del Control'!J32))-(('Matriz de Riesgos'!N31-('Matriz de Riesgos'!N31*'Valoración del Control'!J32))*'Valoración del Control'!T32)),IF(AND('Valoración del Control'!F32="Impacto",'Valoración del Control'!P32="Ninguna"),('Matriz de Riesgos'!N31-('Matriz de Riesgos'!N31*'Valoración del Control'!J32)),IF(AND('Valoración del Control'!F32="Ninguna",'Valoración del Control'!P32="Impacto"),('Matriz de Riesgos'!N31-('Matriz de Riesgos'!N31*'Valoración del Control'!T32)),IF(AND('Valoración del Control'!F32="Ninguna",'Valoración del Control'!P32="Ninguna"),'Matriz de Riesgos'!N31,IF(AND('Valoración del Control'!F32="Impacto y Probabilidad",'Valoración del Control'!P32="Impacto y Probabilidad"),(('Matriz de Riesgos'!N31-('Matriz de Riesgos'!N31*'Valoración del Control'!J32))-(('Matriz de Riesgos'!N31-('Matriz de Riesgos'!N31*'Valoración del Control'!J32))*'Valoración del Control'!T32)),IF(AND('Valoración del Control'!F32="Impacto y Probabilidad",'Valoración del Control'!P32="Ninguna"),('Matriz de Riesgos'!N31-('Matriz de Riesgos'!N31*'Valoración del Control'!J32)),IF(AND('Valoración del Control'!F32="Ninguna",'Valoración del Control'!P32="Impacto y Probabilidad"),('Matriz de Riesgos'!N31-('Matriz de Riesgos'!N31*'Valoración del Control'!T32)),IF(AND('Valoración del Control'!F32="Impacto",'Valoración del Control'!P32="Probabillidad"),('Matriz de Riesgos'!N31-('Matriz de Riesgos'!N31*'Valoración del Control'!J32)),IF(AND('Valoración del Control'!F32="Probabilidad",'Valoración del Control'!P32="Impacto"),('Matriz de Riesgos'!N31-('Matriz de Riesgos'!N31*'Valoración del Control'!T32)),'Matriz de Riesgos'!N31)))))))))</f>
        <v>0.8</v>
      </c>
      <c r="J32" s="65" t="str">
        <f t="shared" ref="J32" si="7">CONCATENATE(F32,H32)</f>
        <v>Muy BajaMayor</v>
      </c>
      <c r="K32" s="178" t="str">
        <f>VLOOKUP(J32,Listas!$L$2:$O$27,4,FALSE)</f>
        <v>Alto</v>
      </c>
      <c r="L32" s="64" t="str">
        <f t="shared" ref="L32" si="8">IF(K32="Moderado","Reducir",IF(K32="Alto","Reducir",IF(K32="Bajo","Aceptar",IF(K32="Muy Bajo","Aceptar",IF(K32="Extremo","Evitar","")))))</f>
        <v>Reducir</v>
      </c>
      <c r="M32" s="229" t="str">
        <f>VLOOKUP('Evaluación-Tratamiento'!L32,Listas!$D$69:$F$72,2,FALSE)</f>
        <v>Tratarlo mediante la transferencia o mitigación</v>
      </c>
      <c r="N32" s="510" t="s">
        <v>611</v>
      </c>
      <c r="O32" s="407" t="s">
        <v>553</v>
      </c>
      <c r="P32" s="375">
        <v>45314</v>
      </c>
      <c r="Q32" s="459">
        <v>1</v>
      </c>
      <c r="R32" s="651" t="s">
        <v>640</v>
      </c>
      <c r="S32" s="652"/>
      <c r="T32" s="535" t="s">
        <v>641</v>
      </c>
      <c r="U32" s="150" t="s">
        <v>140</v>
      </c>
    </row>
    <row r="33" spans="2:21" ht="52.5" customHeight="1" x14ac:dyDescent="0.25">
      <c r="B33" s="545" t="s">
        <v>336</v>
      </c>
      <c r="C33" s="486" t="str">
        <f>'Matriz de Riesgos'!C32</f>
        <v>Gestión Financiera</v>
      </c>
      <c r="D33" s="546" t="str">
        <f>'Matriz de Riesgos'!G32</f>
        <v>Posibilidad de efecto dañoso sobre intereses patrimoniales de naturaleza pública, por cartera no cobrada por el instituto.</v>
      </c>
      <c r="E33" s="547">
        <f>IF('Valoración del Control'!F33="Probabilidad",('Matriz de Riesgos'!K32-('Matriz de Riesgos'!K32*'Valoración del Control'!J33)),IF('Valoración del Control'!F33="Impacto y Probabilidad",('Matriz de Riesgos'!K32-('Matriz de Riesgos'!K32*'Valoración del Control'!J33)),IF('Valoración del Control'!F33="Ninguna","0","")))</f>
        <v>0.12</v>
      </c>
      <c r="F33" s="87" t="str">
        <f>IF(G33&lt;=20%,"Muy Baja",IF(G33&lt;=40%,"Baja",IF(G33&lt;=60%,"Media",IF(G33&lt;=80%,"Alta",IF(G33&lt;=100%,"Muy Alta",'Matriz de Riesgos'!L32)))))</f>
        <v>Muy Baja</v>
      </c>
      <c r="G33" s="547" t="str">
        <f>IF(AND('Valoración del Control'!F33="Probabilidad",'Valoración del Control'!P33="Probabilidad"),(E33-(E33* 'Valoración del Control'!T33)),IF(AND('Valoración del Control'!F33="Ninguna",'Valoración del Control'!P33="Probabilidad"),('Matriz de Riesgos'!K32-('Matriz de Riesgos'!K32*'Matriz de Riesgos'!N32)),IF(AND('Valoración del Control'!F33="Probabilidad",'Valoración del Control'!P33="Ninguna"),E33,IF(AND('Valoración del Control'!F33="Impacto y Probabilidad",'Valoración del Control'!P33="Impacto y Probabilidad"),(E33-(E33* 'Valoración del Control'!T33)),IF(AND('Valoración del Control'!F33="Ninguna",'Valoración del Control'!P33="Impacto y Probabilidad"),('Matriz de Riesgos'!K32-('Matriz de Riesgos'!K32*'Matriz de Riesgos'!N32)),IF(AND('Valoración del Control'!F33="Probabilidad",'Valoración del Control'!P33="Ninguna"),E33,'Matriz de Riesgos'!K32))))))</f>
        <v>20%</v>
      </c>
      <c r="H33" s="87" t="str">
        <f t="shared" ref="H33" si="9">IF(I33&lt;=20%,"Leve",IF(I33&lt;=40%,"Menor",IF(I33&lt;=60%,"Moderado",IF(I33&lt;=80%,"Mayor",IF(I33&lt;=100%,"Catastrofico")))))</f>
        <v>Menor</v>
      </c>
      <c r="I33" s="547">
        <f>IF(AND('Valoración del Control'!F33="Impacto",'Valoración del Control'!P33="Impacto"),(('Matriz de Riesgos'!N32-('Matriz de Riesgos'!N32*'Valoración del Control'!J33))-(('Matriz de Riesgos'!N32-('Matriz de Riesgos'!N32*'Valoración del Control'!J33))*'Valoración del Control'!T33)),IF(AND('Valoración del Control'!F33="Impacto",'Valoración del Control'!P33="Ninguna"),('Matriz de Riesgos'!N32-('Matriz de Riesgos'!N32*'Valoración del Control'!J33)),IF(AND('Valoración del Control'!F33="Ninguna",'Valoración del Control'!P33="Impacto"),('Matriz de Riesgos'!N32-('Matriz de Riesgos'!N32*'Valoración del Control'!T33)),IF(AND('Valoración del Control'!F33="Ninguna",'Valoración del Control'!P33="Ninguna"),'Matriz de Riesgos'!N32,IF(AND('Valoración del Control'!F33="Impacto y Probabilidad",'Valoración del Control'!P33="Impacto y Probabilidad"),(('Matriz de Riesgos'!N32-('Matriz de Riesgos'!N32*'Valoración del Control'!J33))-(('Matriz de Riesgos'!N32-('Matriz de Riesgos'!N32*'Valoración del Control'!J33))*'Valoración del Control'!T33)),IF(AND('Valoración del Control'!F33="Impacto y Probabilidad",'Valoración del Control'!P33="Ninguna"),('Matriz de Riesgos'!N32-('Matriz de Riesgos'!N32*'Valoración del Control'!J33)),IF(AND('Valoración del Control'!F33="Ninguna",'Valoración del Control'!P33="Impacto y Probabilidad"),('Matriz de Riesgos'!N32-('Matriz de Riesgos'!N32*'Valoración del Control'!T33)),IF(AND('Valoración del Control'!F33="Impacto",'Valoración del Control'!P33="Probabillidad"),('Matriz de Riesgos'!N32-('Matriz de Riesgos'!N32*'Valoración del Control'!J33)),IF(AND('Valoración del Control'!F33="Probabilidad",'Valoración del Control'!P33="Impacto"),('Matriz de Riesgos'!N32-('Matriz de Riesgos'!N32*'Valoración del Control'!T33)),'Matriz de Riesgos'!N32)))))))))</f>
        <v>0.4</v>
      </c>
      <c r="J33" s="487" t="str">
        <f t="shared" ref="J33" si="10">CONCATENATE(F33,H33)</f>
        <v>Muy BajaMenor</v>
      </c>
      <c r="K33" s="548" t="str">
        <f>VLOOKUP(J33,Listas!$L$2:$O$27,4,FALSE)</f>
        <v>Bajo</v>
      </c>
      <c r="L33" s="87" t="str">
        <f t="shared" ref="L33" si="11">IF(K33="Moderado","Reducir",IF(K33="Alto","Reducir",IF(K33="Bajo","Aceptar",IF(K33="Muy Bajo","Aceptar",IF(K33="Extremo","Evitar","")))))</f>
        <v>Aceptar</v>
      </c>
      <c r="M33" s="549" t="str">
        <f>VLOOKUP('Evaluación-Tratamiento'!L33,Listas!$D$69:$F$72,2,FALSE)</f>
        <v>Asumir el riesgo conociendo los efectos de su posible materialización</v>
      </c>
      <c r="N33" s="550" t="s">
        <v>557</v>
      </c>
      <c r="O33" s="551" t="s">
        <v>553</v>
      </c>
      <c r="P33" s="552">
        <v>45292</v>
      </c>
      <c r="Q33" s="553">
        <v>1</v>
      </c>
      <c r="R33" s="657" t="s">
        <v>673</v>
      </c>
      <c r="S33" s="658"/>
      <c r="T33" s="554" t="s">
        <v>625</v>
      </c>
      <c r="U33" s="489" t="s">
        <v>139</v>
      </c>
    </row>
  </sheetData>
  <mergeCells count="30">
    <mergeCell ref="R33:S33"/>
    <mergeCell ref="R32:S32"/>
    <mergeCell ref="R30:S30"/>
    <mergeCell ref="R31:S31"/>
    <mergeCell ref="R26:S26"/>
    <mergeCell ref="R27:S27"/>
    <mergeCell ref="R28:S28"/>
    <mergeCell ref="R29:S29"/>
    <mergeCell ref="R23:S23"/>
    <mergeCell ref="R24:S24"/>
    <mergeCell ref="R25:S25"/>
    <mergeCell ref="R20:S20"/>
    <mergeCell ref="R21:S21"/>
    <mergeCell ref="R22:S22"/>
    <mergeCell ref="R18:S18"/>
    <mergeCell ref="R19:S19"/>
    <mergeCell ref="R15:S15"/>
    <mergeCell ref="R16:S16"/>
    <mergeCell ref="R17:S17"/>
    <mergeCell ref="R14:S14"/>
    <mergeCell ref="R10:S10"/>
    <mergeCell ref="R11:S11"/>
    <mergeCell ref="R12:S12"/>
    <mergeCell ref="R13:S13"/>
    <mergeCell ref="N7:U8"/>
    <mergeCell ref="L9:M9"/>
    <mergeCell ref="B7:M8"/>
    <mergeCell ref="B2:D4"/>
    <mergeCell ref="E2:Q4"/>
    <mergeCell ref="R9:S9"/>
  </mergeCells>
  <phoneticPr fontId="7" type="noConversion"/>
  <conditionalFormatting sqref="F10:F33">
    <cfRule type="cellIs" dxfId="44" priority="10" operator="equal">
      <formula>"Muy Alta"</formula>
    </cfRule>
    <cfRule type="cellIs" dxfId="43" priority="11" operator="equal">
      <formula>"Alta"</formula>
    </cfRule>
    <cfRule type="cellIs" dxfId="42" priority="12" operator="equal">
      <formula>"Media"</formula>
    </cfRule>
    <cfRule type="cellIs" dxfId="41" priority="13" operator="equal">
      <formula>"Baja"</formula>
    </cfRule>
    <cfRule type="cellIs" dxfId="40" priority="14" operator="equal">
      <formula>"Muy Baja"</formula>
    </cfRule>
  </conditionalFormatting>
  <conditionalFormatting sqref="H10:H33">
    <cfRule type="cellIs" dxfId="39" priority="5" operator="equal">
      <formula>"Catastrofico"</formula>
    </cfRule>
    <cfRule type="cellIs" dxfId="38" priority="6" operator="equal">
      <formula>"Mayor"</formula>
    </cfRule>
    <cfRule type="cellIs" dxfId="37" priority="7" operator="equal">
      <formula>"Moderado"</formula>
    </cfRule>
    <cfRule type="cellIs" dxfId="36" priority="8" operator="equal">
      <formula>"Menor"</formula>
    </cfRule>
    <cfRule type="cellIs" dxfId="35" priority="9" operator="equal">
      <formula>"Leve"</formula>
    </cfRule>
  </conditionalFormatting>
  <conditionalFormatting sqref="K10:K33">
    <cfRule type="cellIs" dxfId="34" priority="1" operator="equal">
      <formula>"Extremo"</formula>
    </cfRule>
    <cfRule type="cellIs" dxfId="33" priority="2" operator="equal">
      <formula>"Alto"</formula>
    </cfRule>
    <cfRule type="cellIs" dxfId="32" priority="3" operator="equal">
      <formula>"Moderado"</formula>
    </cfRule>
    <cfRule type="cellIs" dxfId="31" priority="4" operator="equal">
      <formula>"Bajo"</formula>
    </cfRule>
  </conditionalFormatting>
  <pageMargins left="0.7" right="0.7" top="0.75" bottom="0.75" header="0.3" footer="0.3"/>
  <pageSetup paperSize="14" scale="23"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Listas!$E$10:$E$11</xm:f>
          </x14:formula1>
          <xm:sqref>U10:U33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pageSetUpPr fitToPage="1"/>
  </sheetPr>
  <dimension ref="B1:T36"/>
  <sheetViews>
    <sheetView view="pageBreakPreview" zoomScale="60" zoomScaleNormal="55" workbookViewId="0">
      <selection activeCell="AA16" sqref="AA16"/>
    </sheetView>
  </sheetViews>
  <sheetFormatPr baseColWidth="10" defaultColWidth="11.42578125" defaultRowHeight="15.75" x14ac:dyDescent="0.25"/>
  <cols>
    <col min="1" max="1" width="11.42578125" style="50"/>
    <col min="2" max="2" width="38" style="50" customWidth="1"/>
    <col min="3" max="4" width="16.5703125" style="51" hidden="1" customWidth="1"/>
    <col min="5" max="5" width="17.42578125" style="51" hidden="1" customWidth="1"/>
    <col min="6" max="7" width="16.5703125" style="51" hidden="1" customWidth="1"/>
    <col min="8" max="8" width="18.85546875" style="51" hidden="1" customWidth="1"/>
    <col min="9" max="12" width="17.5703125" style="51" customWidth="1"/>
    <col min="13" max="14" width="19.140625" style="50" customWidth="1"/>
    <col min="15" max="16384" width="11.42578125" style="50"/>
  </cols>
  <sheetData>
    <row r="1" spans="2:14" ht="16.5" thickBot="1" x14ac:dyDescent="0.3"/>
    <row r="2" spans="2:14" ht="27" customHeight="1" x14ac:dyDescent="0.25">
      <c r="B2" s="668"/>
      <c r="C2" s="659" t="s">
        <v>511</v>
      </c>
      <c r="D2" s="660"/>
      <c r="E2" s="660"/>
      <c r="F2" s="660"/>
      <c r="G2" s="660"/>
      <c r="H2" s="660"/>
      <c r="I2" s="660"/>
      <c r="J2" s="660"/>
      <c r="K2" s="660"/>
      <c r="L2" s="661"/>
      <c r="M2" s="442" t="s">
        <v>151</v>
      </c>
      <c r="N2" s="443" t="s">
        <v>513</v>
      </c>
    </row>
    <row r="3" spans="2:14" ht="27" customHeight="1" x14ac:dyDescent="0.25">
      <c r="B3" s="669"/>
      <c r="C3" s="662"/>
      <c r="D3" s="663"/>
      <c r="E3" s="663"/>
      <c r="F3" s="663"/>
      <c r="G3" s="663"/>
      <c r="H3" s="663"/>
      <c r="I3" s="663"/>
      <c r="J3" s="663"/>
      <c r="K3" s="663"/>
      <c r="L3" s="664"/>
      <c r="M3" s="444" t="s">
        <v>152</v>
      </c>
      <c r="N3" s="445">
        <v>4</v>
      </c>
    </row>
    <row r="4" spans="2:14" ht="21" thickBot="1" x14ac:dyDescent="0.3">
      <c r="B4" s="670"/>
      <c r="C4" s="665"/>
      <c r="D4" s="666"/>
      <c r="E4" s="666"/>
      <c r="F4" s="666"/>
      <c r="G4" s="666"/>
      <c r="H4" s="666"/>
      <c r="I4" s="666"/>
      <c r="J4" s="666"/>
      <c r="K4" s="666"/>
      <c r="L4" s="667"/>
      <c r="M4" s="446" t="s">
        <v>153</v>
      </c>
      <c r="N4" s="447">
        <v>44719</v>
      </c>
    </row>
    <row r="5" spans="2:14" ht="21" thickBot="1" x14ac:dyDescent="0.3">
      <c r="M5" s="448"/>
      <c r="N5" s="449"/>
    </row>
    <row r="6" spans="2:14" ht="21" customHeight="1" thickBot="1" x14ac:dyDescent="0.3">
      <c r="B6" s="682" t="s">
        <v>158</v>
      </c>
      <c r="C6" s="680" t="s">
        <v>154</v>
      </c>
      <c r="D6" s="681"/>
      <c r="E6" s="681"/>
      <c r="F6" s="681"/>
      <c r="G6" s="681"/>
      <c r="H6" s="154"/>
      <c r="I6" s="684" t="s">
        <v>155</v>
      </c>
      <c r="J6" s="685"/>
      <c r="K6" s="685"/>
      <c r="L6" s="685"/>
      <c r="M6" s="685"/>
      <c r="N6" s="686"/>
    </row>
    <row r="7" spans="2:14" ht="42.75" customHeight="1" thickBot="1" x14ac:dyDescent="0.3">
      <c r="B7" s="683"/>
      <c r="C7" s="155" t="s">
        <v>159</v>
      </c>
      <c r="D7" s="155" t="s">
        <v>160</v>
      </c>
      <c r="E7" s="155" t="s">
        <v>161</v>
      </c>
      <c r="F7" s="155" t="s">
        <v>162</v>
      </c>
      <c r="G7" s="155" t="s">
        <v>163</v>
      </c>
      <c r="H7" s="155" t="s">
        <v>166</v>
      </c>
      <c r="I7" s="156" t="s">
        <v>159</v>
      </c>
      <c r="J7" s="156" t="s">
        <v>160</v>
      </c>
      <c r="K7" s="156" t="s">
        <v>161</v>
      </c>
      <c r="L7" s="156" t="s">
        <v>162</v>
      </c>
      <c r="M7" s="157" t="s">
        <v>163</v>
      </c>
      <c r="N7" s="157" t="s">
        <v>167</v>
      </c>
    </row>
    <row r="8" spans="2:14" ht="23.25" customHeight="1" x14ac:dyDescent="0.25">
      <c r="B8" s="109" t="s">
        <v>12</v>
      </c>
      <c r="C8" s="144">
        <f>COUNTIFS('Matriz de Riesgos'!$C$9:$C$30,B8,'Matriz de Riesgos'!$R$9:$R$30,"Extremo")</f>
        <v>0</v>
      </c>
      <c r="D8" s="57">
        <f>COUNTIFS('Matriz de Riesgos'!$C$9:$C$30,B8,'Matriz de Riesgos'!$R$9:$R$30,"Alto")</f>
        <v>0</v>
      </c>
      <c r="E8" s="57">
        <f>COUNTIFS('Matriz de Riesgos'!$C$9:$C$30,B8,'Matriz de Riesgos'!$R$9:$R$30,"Moderado")</f>
        <v>1</v>
      </c>
      <c r="F8" s="57">
        <f>COUNTIFS('Matriz de Riesgos'!$C$9:$C$30,B8,'Matriz de Riesgos'!$R$9:$R$30,"Bajo")</f>
        <v>0</v>
      </c>
      <c r="G8" s="158">
        <f>SUM(C8:F8)</f>
        <v>1</v>
      </c>
      <c r="H8" s="159" t="str">
        <f>+IF((C8/G8)&gt;=0.2,$B$33,+IF(((C8/G8)+(D8/G8))&gt;=0.3,$B$34,+IF(((C8/G8)+(D8/G8)+(E8/G8))&gt;=0.4,$B$35,+IF((C8/G8)+(D8/G8)+(E8/G8)+(F8/G8)&gt;=0.5,$B$36,""))))</f>
        <v>Moderado</v>
      </c>
      <c r="I8" s="144">
        <f>COUNTIFS('Evaluación-Tratamiento'!$C$10:$C$31,'Riesgo de los procesos'!B8,'Evaluación-Tratamiento'!$K$10:$K$31,"Extremo")</f>
        <v>0</v>
      </c>
      <c r="J8" s="57">
        <f>COUNTIFS('Evaluación-Tratamiento'!$C$10:$C$31,B8,'Evaluación-Tratamiento'!$K$10:$K$31,"Alto")</f>
        <v>0</v>
      </c>
      <c r="K8" s="57">
        <f>COUNTIFS('Evaluación-Tratamiento'!$C$10:$C$31,B8,'Evaluación-Tratamiento'!$K$10:$K$31,"Moderado")</f>
        <v>0</v>
      </c>
      <c r="L8" s="57">
        <f>COUNTIFS('Evaluación-Tratamiento'!$C$10:$C$31,B8,'Evaluación-Tratamiento'!$K$10:$K$31,"Bajo")</f>
        <v>1</v>
      </c>
      <c r="M8" s="158">
        <f>SUM(I8:L8)</f>
        <v>1</v>
      </c>
      <c r="N8" s="159" t="str">
        <f>+IF((I8/M8)&gt;=0.2,$B$33,+IF(((I8/M8)+(J8/M8))&gt;=0.3,$B$34,+IF(((I8/M8)+(J8/M8)+(K8/M8))&gt;=0.4,$B$35,+IF((I8/M8)+(J8/M8)+(K8/M8)+(L8/M8)&gt;=0.5,$B$36,""))))</f>
        <v>Bajo</v>
      </c>
    </row>
    <row r="9" spans="2:14" ht="23.25" customHeight="1" x14ac:dyDescent="0.25">
      <c r="B9" s="110" t="s">
        <v>13</v>
      </c>
      <c r="C9" s="148">
        <f>COUNTIFS('Matriz de Riesgos'!$C$9:$C$30,B9,'Matriz de Riesgos'!$R$9:$R$30,"Extremo")</f>
        <v>0</v>
      </c>
      <c r="D9" s="64">
        <f>COUNTIFS('Matriz de Riesgos'!$C$9:$C$30,B9,'Matriz de Riesgos'!$R$9:$R$30,"Alto")</f>
        <v>0</v>
      </c>
      <c r="E9" s="64">
        <f>COUNTIFS('Matriz de Riesgos'!$C$9:$C$30,B9,'Matriz de Riesgos'!$R$9:$R$30,"Moderado")</f>
        <v>0</v>
      </c>
      <c r="F9" s="64">
        <f>COUNTIFS('Matriz de Riesgos'!$C$9:$C$30,B9,'Matriz de Riesgos'!$R$9:$R$30,"Bajo")</f>
        <v>1</v>
      </c>
      <c r="G9" s="160">
        <f t="shared" ref="G9:G22" si="0">SUM(C9:F9)</f>
        <v>1</v>
      </c>
      <c r="H9" s="161" t="str">
        <f t="shared" ref="H9:H22" si="1">+IF((C9/G9)&gt;=0.2,$B$33,+IF(((C9/G9)+(D9/G9))&gt;=0.3,$B$34,+IF(((C9/G9)+(D9/G9)+(E9/G9))&gt;=0.4,$B$35,+IF((C9/G9)+(D9/G9)+(E9/G9)+(F9/G9)&gt;=0.5,$B$36,""))))</f>
        <v>Bajo</v>
      </c>
      <c r="I9" s="148">
        <f>COUNTIFS('Evaluación-Tratamiento'!$C$10:$C$31,'Riesgo de los procesos'!B9,'Evaluación-Tratamiento'!$K$10:$K$31,"Extremo")</f>
        <v>0</v>
      </c>
      <c r="J9" s="64">
        <f>COUNTIFS('Evaluación-Tratamiento'!$C$10:$C$31,B9,'Evaluación-Tratamiento'!$K$10:$K$31,"Alto")</f>
        <v>0</v>
      </c>
      <c r="K9" s="64">
        <f>COUNTIFS('Evaluación-Tratamiento'!$C$10:$C$31,B9,'Evaluación-Tratamiento'!$K$10:$K$31,"Moderado")</f>
        <v>0</v>
      </c>
      <c r="L9" s="64">
        <f>COUNTIFS('Evaluación-Tratamiento'!$C$10:$C$31,B9,'Evaluación-Tratamiento'!$K$10:$K$31,"Bajo")</f>
        <v>1</v>
      </c>
      <c r="M9" s="160">
        <f t="shared" ref="M9:M22" si="2">SUM(I9:L9)</f>
        <v>1</v>
      </c>
      <c r="N9" s="161" t="str">
        <f t="shared" ref="N9:N22" si="3">+IF((I9/M9)&gt;=0.2,$B$33,+IF(((I9/M9)+(J9/M9))&gt;=0.3,$B$34,+IF(((I9/M9)+(J9/M9)+(K9/M9))&gt;=0.4,$B$35,+IF((I9/M9)+(J9/M9)+(K9/M9)+(L9/M9)&gt;=0.5,$B$36,""))))</f>
        <v>Bajo</v>
      </c>
    </row>
    <row r="10" spans="2:14" ht="39.950000000000003" customHeight="1" x14ac:dyDescent="0.25">
      <c r="B10" s="111" t="s">
        <v>14</v>
      </c>
      <c r="C10" s="148">
        <f>COUNTIFS('Matriz de Riesgos'!$C$9:$C$30,B10,'Matriz de Riesgos'!$R$9:$R$30,"Extremo")</f>
        <v>0</v>
      </c>
      <c r="D10" s="64">
        <f>COUNTIFS('Matriz de Riesgos'!$C$9:$C$30,B10,'Matriz de Riesgos'!$R$9:$R$30,"Alto")</f>
        <v>0</v>
      </c>
      <c r="E10" s="64">
        <f>COUNTIFS('Matriz de Riesgos'!$C$9:$C$30,B10,'Matriz de Riesgos'!$R$9:$R$30,"Moderado")</f>
        <v>0</v>
      </c>
      <c r="F10" s="64">
        <f>COUNTIFS('Matriz de Riesgos'!$C$9:$C$30,B10,'Matriz de Riesgos'!$R$9:$R$30,"Bajo")</f>
        <v>1</v>
      </c>
      <c r="G10" s="160">
        <f t="shared" si="0"/>
        <v>1</v>
      </c>
      <c r="H10" s="161" t="str">
        <f t="shared" si="1"/>
        <v>Bajo</v>
      </c>
      <c r="I10" s="148">
        <f>COUNTIFS('Evaluación-Tratamiento'!$C$10:$C$31,'Riesgo de los procesos'!B10,'Evaluación-Tratamiento'!$K$10:$K$31,"Extremo")</f>
        <v>0</v>
      </c>
      <c r="J10" s="64">
        <f>COUNTIFS('Evaluación-Tratamiento'!$C$10:$C$31,B10,'Evaluación-Tratamiento'!$K$10:$K$31,"Alto")</f>
        <v>0</v>
      </c>
      <c r="K10" s="64">
        <f>COUNTIFS('Evaluación-Tratamiento'!$C$10:$C$31,B10,'Evaluación-Tratamiento'!$K$10:$K$31,"Moderado")</f>
        <v>0</v>
      </c>
      <c r="L10" s="64">
        <f>COUNTIFS('Evaluación-Tratamiento'!$C$10:$C$31,B10,'Evaluación-Tratamiento'!$K$10:$K$31,"Bajo")</f>
        <v>1</v>
      </c>
      <c r="M10" s="160">
        <f t="shared" si="2"/>
        <v>1</v>
      </c>
      <c r="N10" s="161" t="str">
        <f t="shared" si="3"/>
        <v>Bajo</v>
      </c>
    </row>
    <row r="11" spans="2:14" ht="22.5" customHeight="1" x14ac:dyDescent="0.25">
      <c r="B11" s="110" t="s">
        <v>15</v>
      </c>
      <c r="C11" s="148">
        <f>COUNTIFS('Matriz de Riesgos'!$C$9:$C$30,B11,'Matriz de Riesgos'!$R$9:$R$30,"Extremo")</f>
        <v>0</v>
      </c>
      <c r="D11" s="64">
        <f>COUNTIFS('Matriz de Riesgos'!$C$9:$C$30,B11,'Matriz de Riesgos'!$R$9:$R$30,"Alto")</f>
        <v>1</v>
      </c>
      <c r="E11" s="64">
        <f>COUNTIFS('Matriz de Riesgos'!$C$9:$C$30,B11,'Matriz de Riesgos'!$R$9:$R$30,"Moderado")</f>
        <v>1</v>
      </c>
      <c r="F11" s="64">
        <f>COUNTIFS('Matriz de Riesgos'!$C$9:$C$30,B11,'Matriz de Riesgos'!$R$9:$R$30,"Bajo")</f>
        <v>0</v>
      </c>
      <c r="G11" s="160">
        <f t="shared" si="0"/>
        <v>2</v>
      </c>
      <c r="H11" s="161" t="str">
        <f t="shared" si="1"/>
        <v>Alto</v>
      </c>
      <c r="I11" s="148">
        <f>COUNTIFS('Evaluación-Tratamiento'!$C$10:$C$31,'Riesgo de los procesos'!B11,'Evaluación-Tratamiento'!$K$10:$K$31,"Extremo")</f>
        <v>0</v>
      </c>
      <c r="J11" s="64">
        <f>COUNTIFS('Evaluación-Tratamiento'!$C$10:$C$31,B11,'Evaluación-Tratamiento'!$K$10:$K$31,"Alto")</f>
        <v>1</v>
      </c>
      <c r="K11" s="64">
        <f>COUNTIFS('Evaluación-Tratamiento'!$C$10:$C$31,B11,'Evaluación-Tratamiento'!$K$10:$K$31,"Moderado")</f>
        <v>0</v>
      </c>
      <c r="L11" s="64">
        <f>COUNTIFS('Evaluación-Tratamiento'!$C$10:$C$31,B11,'Evaluación-Tratamiento'!$K$10:$K$31,"Bajo")</f>
        <v>1</v>
      </c>
      <c r="M11" s="160">
        <f t="shared" si="2"/>
        <v>2</v>
      </c>
      <c r="N11" s="161" t="str">
        <f t="shared" si="3"/>
        <v>Alto</v>
      </c>
    </row>
    <row r="12" spans="2:14" ht="22.5" customHeight="1" x14ac:dyDescent="0.25">
      <c r="B12" s="110" t="s">
        <v>16</v>
      </c>
      <c r="C12" s="148">
        <f>COUNTIFS('Matriz de Riesgos'!$C$9:$C$30,B12,'Matriz de Riesgos'!$R$9:$R$30,"Extremo")</f>
        <v>0</v>
      </c>
      <c r="D12" s="64">
        <f>COUNTIFS('Matriz de Riesgos'!$C$9:$C$30,B12,'Matriz de Riesgos'!$R$9:$R$30,"Alto")</f>
        <v>0</v>
      </c>
      <c r="E12" s="64">
        <f>COUNTIFS('Matriz de Riesgos'!$C$9:$C$30,B12,'Matriz de Riesgos'!$R$9:$R$30,"Moderado")</f>
        <v>2</v>
      </c>
      <c r="F12" s="64">
        <f>COUNTIFS('Matriz de Riesgos'!$C$9:$C$30,B12,'Matriz de Riesgos'!$R$9:$R$30,"Bajo")</f>
        <v>0</v>
      </c>
      <c r="G12" s="160">
        <f t="shared" si="0"/>
        <v>2</v>
      </c>
      <c r="H12" s="161" t="str">
        <f t="shared" si="1"/>
        <v>Moderado</v>
      </c>
      <c r="I12" s="148">
        <f>COUNTIFS('Evaluación-Tratamiento'!$C$10:$C$31,'Riesgo de los procesos'!B12,'Evaluación-Tratamiento'!$K$10:$K$31,"Extremo")</f>
        <v>0</v>
      </c>
      <c r="J12" s="64">
        <f>COUNTIFS('Evaluación-Tratamiento'!$C$10:$C$31,B12,'Evaluación-Tratamiento'!$K$10:$K$31,"Alto")</f>
        <v>0</v>
      </c>
      <c r="K12" s="64">
        <f>COUNTIFS('Evaluación-Tratamiento'!$C$10:$C$31,B12,'Evaluación-Tratamiento'!$K$10:$K$31,"Moderado")</f>
        <v>2</v>
      </c>
      <c r="L12" s="64">
        <f>COUNTIFS('Evaluación-Tratamiento'!$C$10:$C$31,B12,'Evaluación-Tratamiento'!$K$10:$K$31,"Bajo")</f>
        <v>0</v>
      </c>
      <c r="M12" s="160">
        <f t="shared" si="2"/>
        <v>2</v>
      </c>
      <c r="N12" s="161" t="str">
        <f t="shared" si="3"/>
        <v>Moderado</v>
      </c>
    </row>
    <row r="13" spans="2:14" ht="22.5" customHeight="1" x14ac:dyDescent="0.25">
      <c r="B13" s="376" t="s">
        <v>17</v>
      </c>
      <c r="C13" s="148">
        <f>COUNTIFS('Matriz de Riesgos'!$C$9:$C$30,B13,'Matriz de Riesgos'!$R$9:$R$30,"Extremo")</f>
        <v>0</v>
      </c>
      <c r="D13" s="64">
        <f>COUNTIFS('Matriz de Riesgos'!$C$9:$C$30,B13,'Matriz de Riesgos'!$R$9:$R$30,"Alto")</f>
        <v>0</v>
      </c>
      <c r="E13" s="64">
        <f>COUNTIFS('Matriz de Riesgos'!$C$9:$C$30,B13,'Matriz de Riesgos'!$R$9:$R$30,"Moderado")</f>
        <v>0</v>
      </c>
      <c r="F13" s="64">
        <f>COUNTIFS('Matriz de Riesgos'!$C$9:$C$30,B13,'Matriz de Riesgos'!$R$9:$R$30,"Bajo")</f>
        <v>0</v>
      </c>
      <c r="G13" s="160">
        <f t="shared" si="0"/>
        <v>0</v>
      </c>
      <c r="H13" s="161" t="e">
        <f t="shared" si="1"/>
        <v>#DIV/0!</v>
      </c>
      <c r="I13" s="148">
        <f>COUNTIFS('Evaluación-Tratamiento'!$C$10:$C$31,'Riesgo de los procesos'!B13,'Evaluación-Tratamiento'!$K$10:$K$31,"Extremo")</f>
        <v>0</v>
      </c>
      <c r="J13" s="64">
        <f>COUNTIFS('Evaluación-Tratamiento'!$C$10:$C$31,B13,'Evaluación-Tratamiento'!$K$10:$K$31,"Alto")</f>
        <v>0</v>
      </c>
      <c r="K13" s="64">
        <f>COUNTIFS('Evaluación-Tratamiento'!$C$10:$C$31,B13,'Evaluación-Tratamiento'!$K$10:$K$31,"Moderado")</f>
        <v>0</v>
      </c>
      <c r="L13" s="64">
        <f>COUNTIFS('Evaluación-Tratamiento'!$C$10:$C$31,B13,'Evaluación-Tratamiento'!$K$10:$K$31,"Bajo")</f>
        <v>0</v>
      </c>
      <c r="M13" s="160">
        <f t="shared" si="2"/>
        <v>0</v>
      </c>
      <c r="N13" s="161" t="e">
        <f t="shared" si="3"/>
        <v>#DIV/0!</v>
      </c>
    </row>
    <row r="14" spans="2:14" ht="22.5" customHeight="1" x14ac:dyDescent="0.25">
      <c r="B14" s="110" t="s">
        <v>18</v>
      </c>
      <c r="C14" s="148">
        <f>COUNTIFS('Matriz de Riesgos'!$C$9:$C$30,B14,'Matriz de Riesgos'!$R$9:$R$30,"Extremo")</f>
        <v>0</v>
      </c>
      <c r="D14" s="64">
        <f>COUNTIFS('Matriz de Riesgos'!$C$9:$C$30,B14,'Matriz de Riesgos'!$R$9:$R$30,"Alto")</f>
        <v>1</v>
      </c>
      <c r="E14" s="64">
        <f>COUNTIFS('Matriz de Riesgos'!$C$9:$C$30,B14,'Matriz de Riesgos'!$R$9:$R$30,"Moderado")</f>
        <v>0</v>
      </c>
      <c r="F14" s="64">
        <f>COUNTIFS('Matriz de Riesgos'!$C$9:$C$30,B14,'Matriz de Riesgos'!$R$9:$R$30,"Bajo")</f>
        <v>0</v>
      </c>
      <c r="G14" s="160">
        <f t="shared" si="0"/>
        <v>1</v>
      </c>
      <c r="H14" s="161" t="str">
        <f t="shared" si="1"/>
        <v>Alto</v>
      </c>
      <c r="I14" s="148">
        <f>COUNTIFS('Evaluación-Tratamiento'!$C$10:$C$31,'Riesgo de los procesos'!B14,'Evaluación-Tratamiento'!$K$10:$K$31,"Extremo")</f>
        <v>0</v>
      </c>
      <c r="J14" s="64">
        <f>COUNTIFS('Evaluación-Tratamiento'!$C$10:$C$31,B14,'Evaluación-Tratamiento'!$K$10:$K$31,"Alto")</f>
        <v>1</v>
      </c>
      <c r="K14" s="64">
        <f>COUNTIFS('Evaluación-Tratamiento'!$C$10:$C$31,B14,'Evaluación-Tratamiento'!$K$10:$K$31,"Moderado")</f>
        <v>0</v>
      </c>
      <c r="L14" s="64">
        <f>COUNTIFS('Evaluación-Tratamiento'!$C$10:$C$31,B14,'Evaluación-Tratamiento'!$K$10:$K$31,"Bajo")</f>
        <v>0</v>
      </c>
      <c r="M14" s="160">
        <f t="shared" si="2"/>
        <v>1</v>
      </c>
      <c r="N14" s="161" t="str">
        <f t="shared" si="3"/>
        <v>Alto</v>
      </c>
    </row>
    <row r="15" spans="2:14" ht="22.5" customHeight="1" x14ac:dyDescent="0.25">
      <c r="B15" s="110" t="s">
        <v>19</v>
      </c>
      <c r="C15" s="148">
        <f>COUNTIFS('Matriz de Riesgos'!$C$9:$C$30,B15,'Matriz de Riesgos'!$R$9:$R$30,"Extremo")</f>
        <v>0</v>
      </c>
      <c r="D15" s="64">
        <f>COUNTIFS('Matriz de Riesgos'!$C$9:$C$30,B15,'Matriz de Riesgos'!$R$9:$R$30,"Alto")</f>
        <v>2</v>
      </c>
      <c r="E15" s="64">
        <f>COUNTIFS('Matriz de Riesgos'!$C$9:$C$30,B15,'Matriz de Riesgos'!$R$9:$R$30,"Moderado")</f>
        <v>0</v>
      </c>
      <c r="F15" s="64">
        <f>COUNTIFS('Matriz de Riesgos'!$C$9:$C$30,B15,'Matriz de Riesgos'!$R$9:$R$30,"Bajo")</f>
        <v>0</v>
      </c>
      <c r="G15" s="160">
        <f t="shared" si="0"/>
        <v>2</v>
      </c>
      <c r="H15" s="161" t="str">
        <f t="shared" si="1"/>
        <v>Alto</v>
      </c>
      <c r="I15" s="148">
        <f>COUNTIFS('Evaluación-Tratamiento'!$C$10:$C$31,'Riesgo de los procesos'!B15,'Evaluación-Tratamiento'!$K$10:$K$31,"Extremo")</f>
        <v>0</v>
      </c>
      <c r="J15" s="64">
        <f>COUNTIFS('Evaluación-Tratamiento'!$C$10:$C$31,B15,'Evaluación-Tratamiento'!$K$10:$K$31,"Alto")</f>
        <v>1</v>
      </c>
      <c r="K15" s="64">
        <f>COUNTIFS('Evaluación-Tratamiento'!$C$10:$C$31,B15,'Evaluación-Tratamiento'!$K$10:$K$31,"Moderado")</f>
        <v>0</v>
      </c>
      <c r="L15" s="64">
        <f>COUNTIFS('Evaluación-Tratamiento'!$C$10:$C$31,B15,'Evaluación-Tratamiento'!$K$10:$K$31,"Bajo")</f>
        <v>1</v>
      </c>
      <c r="M15" s="160">
        <f t="shared" si="2"/>
        <v>2</v>
      </c>
      <c r="N15" s="161" t="str">
        <f t="shared" si="3"/>
        <v>Alto</v>
      </c>
    </row>
    <row r="16" spans="2:14" ht="22.5" customHeight="1" x14ac:dyDescent="0.25">
      <c r="B16" s="110" t="s">
        <v>20</v>
      </c>
      <c r="C16" s="148">
        <f>COUNTIFS('Matriz de Riesgos'!$C$9:$C$30,B16,'Matriz de Riesgos'!$R$9:$R$30,"Extremo")</f>
        <v>0</v>
      </c>
      <c r="D16" s="64">
        <f>COUNTIFS('Matriz de Riesgos'!$C$9:$C$30,B16,'Matriz de Riesgos'!$R$9:$R$30,"Alto")</f>
        <v>1</v>
      </c>
      <c r="E16" s="64">
        <f>COUNTIFS('Matriz de Riesgos'!$C$9:$C$30,B16,'Matriz de Riesgos'!$R$9:$R$30,"Moderado")</f>
        <v>0</v>
      </c>
      <c r="F16" s="64">
        <f>COUNTIFS('Matriz de Riesgos'!$C$9:$C$30,B16,'Matriz de Riesgos'!$R$9:$R$30,"Bajo")</f>
        <v>1</v>
      </c>
      <c r="G16" s="160">
        <f t="shared" si="0"/>
        <v>2</v>
      </c>
      <c r="H16" s="161" t="str">
        <f t="shared" si="1"/>
        <v>Alto</v>
      </c>
      <c r="I16" s="148">
        <f>COUNTIFS('Evaluación-Tratamiento'!$C$10:$C$31,'Riesgo de los procesos'!B16,'Evaluación-Tratamiento'!$K$10:$K$31,"Extremo")</f>
        <v>0</v>
      </c>
      <c r="J16" s="64">
        <f>COUNTIFS('Evaluación-Tratamiento'!$C$10:$C$31,B16,'Evaluación-Tratamiento'!$K$10:$K$31,"Alto")</f>
        <v>1</v>
      </c>
      <c r="K16" s="64">
        <f>COUNTIFS('Evaluación-Tratamiento'!$C$10:$C$31,B16,'Evaluación-Tratamiento'!$K$10:$K$31,"Moderado")</f>
        <v>0</v>
      </c>
      <c r="L16" s="64">
        <f>COUNTIFS('Evaluación-Tratamiento'!$C$10:$C$31,B16,'Evaluación-Tratamiento'!$K$10:$K$31,"Bajo")</f>
        <v>1</v>
      </c>
      <c r="M16" s="160">
        <f t="shared" si="2"/>
        <v>2</v>
      </c>
      <c r="N16" s="161" t="str">
        <f t="shared" si="3"/>
        <v>Alto</v>
      </c>
    </row>
    <row r="17" spans="2:20" ht="22.5" customHeight="1" x14ac:dyDescent="0.25">
      <c r="B17" s="110" t="s">
        <v>21</v>
      </c>
      <c r="C17" s="148">
        <f>COUNTIFS('Matriz de Riesgos'!$C$9:$C$30,B17,'Matriz de Riesgos'!$R$9:$R$30,"Extremo")</f>
        <v>0</v>
      </c>
      <c r="D17" s="64">
        <f>COUNTIFS('Matriz de Riesgos'!$C$9:$C$30,B17,'Matriz de Riesgos'!$R$9:$R$30,"Alto")</f>
        <v>0</v>
      </c>
      <c r="E17" s="64">
        <f>COUNTIFS('Matriz de Riesgos'!$C$9:$C$30,B17,'Matriz de Riesgos'!$R$9:$R$30,"Moderado")</f>
        <v>1</v>
      </c>
      <c r="F17" s="64">
        <f>COUNTIFS('Matriz de Riesgos'!$C$9:$C$30,B17,'Matriz de Riesgos'!$R$9:$R$30,"Bajo")</f>
        <v>0</v>
      </c>
      <c r="G17" s="160">
        <f t="shared" si="0"/>
        <v>1</v>
      </c>
      <c r="H17" s="161" t="str">
        <f t="shared" si="1"/>
        <v>Moderado</v>
      </c>
      <c r="I17" s="148">
        <f>COUNTIFS('Evaluación-Tratamiento'!$C$10:$C$31,'Riesgo de los procesos'!B17,'Evaluación-Tratamiento'!$K$10:$K$31,"Extremo")</f>
        <v>0</v>
      </c>
      <c r="J17" s="64">
        <f>COUNTIFS('Evaluación-Tratamiento'!$C$10:$C$31,B17,'Evaluación-Tratamiento'!$K$10:$K$31,"Alto")</f>
        <v>0</v>
      </c>
      <c r="K17" s="64">
        <f>COUNTIFS('Evaluación-Tratamiento'!$C$10:$C$31,B17,'Evaluación-Tratamiento'!$K$10:$K$31,"Moderado")</f>
        <v>1</v>
      </c>
      <c r="L17" s="64">
        <f>COUNTIFS('Evaluación-Tratamiento'!$C$10:$C$31,B17,'Evaluación-Tratamiento'!$K$10:$K$31,"Bajo")</f>
        <v>0</v>
      </c>
      <c r="M17" s="160">
        <f t="shared" si="2"/>
        <v>1</v>
      </c>
      <c r="N17" s="161" t="str">
        <f t="shared" si="3"/>
        <v>Moderado</v>
      </c>
    </row>
    <row r="18" spans="2:20" ht="22.5" customHeight="1" x14ac:dyDescent="0.25">
      <c r="B18" s="110" t="s">
        <v>22</v>
      </c>
      <c r="C18" s="148">
        <f>COUNTIFS('Matriz de Riesgos'!$C$9:$C$30,B18,'Matriz de Riesgos'!$R$9:$R$30,"Extremo")</f>
        <v>0</v>
      </c>
      <c r="D18" s="64">
        <f>COUNTIFS('Matriz de Riesgos'!$C$9:$C$30,B18,'Matriz de Riesgos'!$R$9:$R$30,"Alto")</f>
        <v>2</v>
      </c>
      <c r="E18" s="64">
        <f>COUNTIFS('Matriz de Riesgos'!$C$9:$C$30,B18,'Matriz de Riesgos'!$R$9:$R$30,"Moderado")</f>
        <v>0</v>
      </c>
      <c r="F18" s="64">
        <f>COUNTIFS('Matriz de Riesgos'!$C$9:$C$30,B18,'Matriz de Riesgos'!$R$9:$R$30,"Bajo")</f>
        <v>0</v>
      </c>
      <c r="G18" s="160">
        <f t="shared" si="0"/>
        <v>2</v>
      </c>
      <c r="H18" s="161" t="str">
        <f t="shared" si="1"/>
        <v>Alto</v>
      </c>
      <c r="I18" s="148">
        <f>COUNTIFS('Evaluación-Tratamiento'!$C$10:$C$31,'Riesgo de los procesos'!B18,'Evaluación-Tratamiento'!$K$10:$K$31,"Extremo")</f>
        <v>0</v>
      </c>
      <c r="J18" s="64">
        <f>COUNTIFS('Evaluación-Tratamiento'!$C$10:$C$31,B18,'Evaluación-Tratamiento'!$K$10:$K$31,"Alto")</f>
        <v>2</v>
      </c>
      <c r="K18" s="64">
        <f>COUNTIFS('Evaluación-Tratamiento'!$C$10:$C$31,B18,'Evaluación-Tratamiento'!$K$10:$K$31,"Moderado")</f>
        <v>0</v>
      </c>
      <c r="L18" s="64">
        <f>COUNTIFS('Evaluación-Tratamiento'!$C$10:$C$31,B18,'Evaluación-Tratamiento'!$K$10:$K$31,"Bajo")</f>
        <v>0</v>
      </c>
      <c r="M18" s="160">
        <f t="shared" si="2"/>
        <v>2</v>
      </c>
      <c r="N18" s="161" t="str">
        <f t="shared" si="3"/>
        <v>Alto</v>
      </c>
    </row>
    <row r="19" spans="2:20" ht="22.5" customHeight="1" x14ac:dyDescent="0.25">
      <c r="B19" s="110" t="s">
        <v>23</v>
      </c>
      <c r="C19" s="148">
        <f>COUNTIFS('Matriz de Riesgos'!$C$9:$C$30,B19,'Matriz de Riesgos'!$R$9:$R$30,"Extremo")</f>
        <v>0</v>
      </c>
      <c r="D19" s="64">
        <f>COUNTIFS('Matriz de Riesgos'!$C$9:$C$30,B19,'Matriz de Riesgos'!$R$9:$R$30,"Alto")</f>
        <v>1</v>
      </c>
      <c r="E19" s="64">
        <f>COUNTIFS('Matriz de Riesgos'!$C$9:$C$30,B19,'Matriz de Riesgos'!$R$9:$R$30,"Moderado")</f>
        <v>0</v>
      </c>
      <c r="F19" s="64">
        <f>COUNTIFS('Matriz de Riesgos'!$C$9:$C$30,B19,'Matriz de Riesgos'!$R$9:$R$30,"Bajo")</f>
        <v>0</v>
      </c>
      <c r="G19" s="160">
        <f t="shared" si="0"/>
        <v>1</v>
      </c>
      <c r="H19" s="161" t="str">
        <f t="shared" si="1"/>
        <v>Alto</v>
      </c>
      <c r="I19" s="148">
        <f>COUNTIFS('Evaluación-Tratamiento'!$C$10:$C$31,'Riesgo de los procesos'!B19,'Evaluación-Tratamiento'!$K$10:$K$31,"Extremo")</f>
        <v>0</v>
      </c>
      <c r="J19" s="64">
        <f>COUNTIFS('Evaluación-Tratamiento'!$C$10:$C$31,B19,'Evaluación-Tratamiento'!$K$10:$K$31,"Alto")</f>
        <v>1</v>
      </c>
      <c r="K19" s="64">
        <f>COUNTIFS('Evaluación-Tratamiento'!$C$10:$C$31,B19,'Evaluación-Tratamiento'!$K$10:$K$31,"Moderado")</f>
        <v>0</v>
      </c>
      <c r="L19" s="64">
        <v>1</v>
      </c>
      <c r="M19" s="160">
        <f t="shared" si="2"/>
        <v>2</v>
      </c>
      <c r="N19" s="161" t="str">
        <f t="shared" si="3"/>
        <v>Alto</v>
      </c>
    </row>
    <row r="20" spans="2:20" ht="22.5" customHeight="1" x14ac:dyDescent="0.25">
      <c r="B20" s="110" t="s">
        <v>169</v>
      </c>
      <c r="C20" s="148">
        <f>COUNTIFS('Matriz de Riesgos'!$C$9:$C$30,B20,'Matriz de Riesgos'!$R$9:$R$30,"Extremo")</f>
        <v>0</v>
      </c>
      <c r="D20" s="64">
        <f>COUNTIFS('Matriz de Riesgos'!$C$9:$C$30,B20,'Matriz de Riesgos'!$R$9:$R$30,"Alto")</f>
        <v>2</v>
      </c>
      <c r="E20" s="64">
        <f>COUNTIFS('Matriz de Riesgos'!$C$9:$C$30,B20,'Matriz de Riesgos'!$R$9:$R$30,"Moderado")</f>
        <v>0</v>
      </c>
      <c r="F20" s="64">
        <f>COUNTIFS('Matriz de Riesgos'!$C$9:$C$30,B20,'Matriz de Riesgos'!$R$9:$R$30,"Bajo")</f>
        <v>0</v>
      </c>
      <c r="G20" s="160">
        <f t="shared" si="0"/>
        <v>2</v>
      </c>
      <c r="H20" s="161" t="str">
        <f t="shared" si="1"/>
        <v>Alto</v>
      </c>
      <c r="I20" s="148">
        <f>COUNTIFS('Evaluación-Tratamiento'!$C$10:$C$31,'Riesgo de los procesos'!B20,'Evaluación-Tratamiento'!$K$10:$K$31,"Extremo")</f>
        <v>0</v>
      </c>
      <c r="J20" s="64">
        <f>COUNTIFS('Evaluación-Tratamiento'!$C$10:$C$31,B20,'Evaluación-Tratamiento'!$K$10:$K$31,"Alto")</f>
        <v>1</v>
      </c>
      <c r="K20" s="64">
        <f>COUNTIFS('Evaluación-Tratamiento'!$C$10:$C$31,B20,'Evaluación-Tratamiento'!$K$10:$K$31,"Moderado")</f>
        <v>1</v>
      </c>
      <c r="L20" s="64">
        <v>1</v>
      </c>
      <c r="M20" s="160">
        <f t="shared" si="2"/>
        <v>3</v>
      </c>
      <c r="N20" s="161" t="str">
        <f t="shared" si="3"/>
        <v>Alto</v>
      </c>
    </row>
    <row r="21" spans="2:20" ht="22.5" customHeight="1" x14ac:dyDescent="0.25">
      <c r="B21" s="110" t="s">
        <v>24</v>
      </c>
      <c r="C21" s="148">
        <f>COUNTIFS('Matriz de Riesgos'!$C$9:$C$32,B21,'Matriz de Riesgos'!$R$9:$R$32,"Extremo")</f>
        <v>0</v>
      </c>
      <c r="D21" s="64">
        <f>COUNTIFS('Matriz de Riesgos'!$C$9:$C$32,B21,'Matriz de Riesgos'!$R$9:$R$32,"Alto")</f>
        <v>0</v>
      </c>
      <c r="E21" s="64">
        <f>COUNTIFS('Matriz de Riesgos'!$C$9:$C$32,B21,'Matriz de Riesgos'!$R$9:$R$32,"Moderado")</f>
        <v>1</v>
      </c>
      <c r="F21" s="64">
        <f>COUNTIFS('Matriz de Riesgos'!$C$9:$C$32,B21,'Matriz de Riesgos'!$R$9:$R$32,"Bajo")</f>
        <v>1</v>
      </c>
      <c r="G21" s="160">
        <f t="shared" si="0"/>
        <v>2</v>
      </c>
      <c r="H21" s="161" t="str">
        <f t="shared" si="1"/>
        <v>Moderado</v>
      </c>
      <c r="I21" s="148">
        <f>COUNTIFS('Evaluación-Tratamiento'!$C$10:$C$31,'Riesgo de los procesos'!B21,'Evaluación-Tratamiento'!$K$10:$K$31,"Extremo")</f>
        <v>0</v>
      </c>
      <c r="J21" s="64">
        <f>COUNTIFS('Evaluación-Tratamiento'!$C$10:$C$31,B21,'Evaluación-Tratamiento'!$K$10:$K$31,"Alto")</f>
        <v>0</v>
      </c>
      <c r="K21" s="64">
        <f>COUNTIFS('Evaluación-Tratamiento'!$C$10:$C$31,B21,'Evaluación-Tratamiento'!$K$10:$K$31,"Moderado")</f>
        <v>1</v>
      </c>
      <c r="L21" s="64">
        <f>COUNTIFS('Evaluación-Tratamiento'!$C$10:$C$31,B21,'Evaluación-Tratamiento'!$K$10:$K$31,"Bajo")</f>
        <v>0</v>
      </c>
      <c r="M21" s="160">
        <f t="shared" si="2"/>
        <v>1</v>
      </c>
      <c r="N21" s="161" t="str">
        <f t="shared" si="3"/>
        <v>Moderado</v>
      </c>
    </row>
    <row r="22" spans="2:20" ht="22.5" customHeight="1" thickBot="1" x14ac:dyDescent="0.3">
      <c r="B22" s="112" t="s">
        <v>25</v>
      </c>
      <c r="C22" s="152">
        <f>COUNTIFS('Matriz de Riesgos'!$C$9:$C$30,B22,'Matriz de Riesgos'!$R$9:$R$30,"Extremo")</f>
        <v>1</v>
      </c>
      <c r="D22" s="67">
        <f>COUNTIFS('Matriz de Riesgos'!$C$9:$C$30,B22,'Matriz de Riesgos'!$R$9:$R$30,"Alto")</f>
        <v>0</v>
      </c>
      <c r="E22" s="67">
        <f>COUNTIFS('Matriz de Riesgos'!$C$9:$C$30,B22,'Matriz de Riesgos'!$R$9:$R$30,"Moderado")</f>
        <v>2</v>
      </c>
      <c r="F22" s="67">
        <f>COUNTIFS('Matriz de Riesgos'!$C$9:$C$30,B22,'Matriz de Riesgos'!$R$9:$R$30,"Bajo")</f>
        <v>0</v>
      </c>
      <c r="G22" s="162">
        <f t="shared" si="0"/>
        <v>3</v>
      </c>
      <c r="H22" s="163" t="str">
        <f t="shared" si="1"/>
        <v>Extremo</v>
      </c>
      <c r="I22" s="152">
        <f>COUNTIFS('Evaluación-Tratamiento'!$C$10:$C$31,'Riesgo de los procesos'!B22,'Evaluación-Tratamiento'!$K$10:$K$31,"Extremo")</f>
        <v>1</v>
      </c>
      <c r="J22" s="67">
        <f>COUNTIFS('Evaluación-Tratamiento'!$C$10:$C$31,B22,'Evaluación-Tratamiento'!$K$10:$K$31,"Alto")</f>
        <v>0</v>
      </c>
      <c r="K22" s="67">
        <f>COUNTIFS('Evaluación-Tratamiento'!$C$10:$C$31,B22,'Evaluación-Tratamiento'!$K$10:$K$31,"Moderado")</f>
        <v>2</v>
      </c>
      <c r="L22" s="67">
        <f>COUNTIFS('Evaluación-Tratamiento'!$C$10:$C$31,B22,'Evaluación-Tratamiento'!$K$10:$K$31,"Bajo")</f>
        <v>0</v>
      </c>
      <c r="M22" s="162">
        <f t="shared" si="2"/>
        <v>3</v>
      </c>
      <c r="N22" s="163" t="str">
        <f t="shared" si="3"/>
        <v>Extremo</v>
      </c>
    </row>
    <row r="23" spans="2:20" ht="39.950000000000003" customHeight="1" x14ac:dyDescent="0.25">
      <c r="B23" s="51" t="s">
        <v>164</v>
      </c>
      <c r="C23" s="51">
        <f>SUM(C8:C22)</f>
        <v>1</v>
      </c>
      <c r="D23" s="51">
        <f t="shared" ref="D23:M23" si="4">SUM(D8:D22)</f>
        <v>10</v>
      </c>
      <c r="E23" s="51">
        <f t="shared" si="4"/>
        <v>8</v>
      </c>
      <c r="F23" s="51">
        <f t="shared" si="4"/>
        <v>4</v>
      </c>
      <c r="G23" s="51">
        <f>SUM(G8:G22)</f>
        <v>23</v>
      </c>
      <c r="H23" s="51" t="str">
        <f>+IF((C23/G23)&gt;=0.2,$B$33,+IF(((C23/G23)+(D23/G23))&gt;=0.3,$B$34,+IF(((C23/G23)+(D23/G23)+(E23/G23))&gt;=0.4,$B$35,+IF((C23/G23)+(D23/G23)+(E23/G23)+(F23/G23)&gt;=0.5,$B$36,""))))</f>
        <v>Alto</v>
      </c>
      <c r="I23" s="51">
        <f t="shared" si="4"/>
        <v>1</v>
      </c>
      <c r="J23" s="51">
        <f t="shared" si="4"/>
        <v>8</v>
      </c>
      <c r="K23" s="51">
        <f t="shared" si="4"/>
        <v>7</v>
      </c>
      <c r="L23" s="51">
        <f t="shared" si="4"/>
        <v>8</v>
      </c>
      <c r="M23" s="51">
        <f t="shared" si="4"/>
        <v>24</v>
      </c>
      <c r="N23" s="51" t="str">
        <f>+IF((I23/M23)&gt;=0.2,$B$33,+IF(((I23/M23)+(J23/M23))&gt;=0.3,$B$34,+IF(((I23/M23)+(J23/M23)+(K23/M23))&gt;=0.4,$B$35,+IF((I23/M23)+(J23/M23)+(K23/M23)+(L23/M23)&gt;=0.5,$B$36,""))))</f>
        <v>Alto</v>
      </c>
    </row>
    <row r="25" spans="2:20" ht="16.5" hidden="1" thickBot="1" x14ac:dyDescent="0.3">
      <c r="B25" s="677" t="s">
        <v>156</v>
      </c>
      <c r="C25" s="678"/>
      <c r="D25" s="678"/>
      <c r="E25" s="678"/>
      <c r="F25" s="678"/>
      <c r="G25" s="678"/>
      <c r="H25" s="678"/>
      <c r="I25" s="678"/>
      <c r="J25" s="678"/>
      <c r="K25" s="678"/>
      <c r="L25" s="678"/>
      <c r="M25" s="678"/>
      <c r="N25" s="679"/>
      <c r="O25" s="597"/>
      <c r="P25" s="597"/>
      <c r="Q25" s="597"/>
      <c r="R25" s="597"/>
      <c r="S25" s="597"/>
      <c r="T25" s="597"/>
    </row>
    <row r="26" spans="2:20" ht="16.5" hidden="1" thickBot="1" x14ac:dyDescent="0.3">
      <c r="B26" s="164"/>
      <c r="C26" s="165"/>
      <c r="D26" s="165"/>
      <c r="E26" s="165"/>
      <c r="F26" s="165"/>
      <c r="G26" s="165"/>
      <c r="H26" s="165"/>
      <c r="I26" s="165"/>
      <c r="J26" s="165"/>
      <c r="K26" s="165"/>
      <c r="L26" s="165"/>
      <c r="M26" s="165"/>
      <c r="N26" s="165"/>
      <c r="O26" s="597"/>
      <c r="P26" s="597"/>
      <c r="Q26" s="597"/>
      <c r="R26" s="597"/>
      <c r="S26" s="597"/>
      <c r="T26" s="597"/>
    </row>
    <row r="27" spans="2:20" ht="50.25" hidden="1" customHeight="1" x14ac:dyDescent="0.25">
      <c r="B27" s="687" t="s">
        <v>170</v>
      </c>
      <c r="C27" s="688"/>
      <c r="D27" s="688"/>
      <c r="E27" s="688"/>
      <c r="F27" s="688"/>
      <c r="G27" s="688"/>
      <c r="H27" s="688"/>
      <c r="I27" s="688"/>
      <c r="J27" s="688"/>
      <c r="K27" s="688"/>
      <c r="L27" s="688"/>
      <c r="M27" s="688"/>
      <c r="N27" s="689"/>
      <c r="O27" s="166"/>
      <c r="P27" s="166"/>
      <c r="Q27" s="166"/>
      <c r="R27" s="166"/>
      <c r="S27" s="166"/>
    </row>
    <row r="28" spans="2:20" ht="50.25" hidden="1" customHeight="1" x14ac:dyDescent="0.25">
      <c r="B28" s="690" t="s">
        <v>168</v>
      </c>
      <c r="C28" s="691"/>
      <c r="D28" s="691"/>
      <c r="E28" s="691"/>
      <c r="F28" s="691"/>
      <c r="G28" s="691"/>
      <c r="H28" s="691"/>
      <c r="I28" s="691"/>
      <c r="J28" s="691"/>
      <c r="K28" s="691"/>
      <c r="L28" s="691"/>
      <c r="M28" s="691"/>
      <c r="N28" s="692"/>
      <c r="O28" s="167"/>
      <c r="P28" s="167"/>
      <c r="Q28" s="167"/>
      <c r="R28" s="167"/>
      <c r="S28" s="167"/>
    </row>
    <row r="29" spans="2:20" ht="50.25" hidden="1" customHeight="1" x14ac:dyDescent="0.25">
      <c r="B29" s="671" t="s">
        <v>157</v>
      </c>
      <c r="C29" s="672"/>
      <c r="D29" s="672"/>
      <c r="E29" s="672"/>
      <c r="F29" s="672"/>
      <c r="G29" s="672"/>
      <c r="H29" s="672"/>
      <c r="I29" s="672"/>
      <c r="J29" s="672"/>
      <c r="K29" s="672"/>
      <c r="L29" s="672"/>
      <c r="M29" s="672"/>
      <c r="N29" s="673"/>
      <c r="O29" s="166"/>
      <c r="P29" s="166"/>
      <c r="Q29" s="166"/>
      <c r="R29" s="166"/>
      <c r="S29" s="166"/>
    </row>
    <row r="30" spans="2:20" ht="63" hidden="1" customHeight="1" thickBot="1" x14ac:dyDescent="0.3">
      <c r="B30" s="674" t="s">
        <v>171</v>
      </c>
      <c r="C30" s="675"/>
      <c r="D30" s="675"/>
      <c r="E30" s="675"/>
      <c r="F30" s="675"/>
      <c r="G30" s="675"/>
      <c r="H30" s="675"/>
      <c r="I30" s="675"/>
      <c r="J30" s="675"/>
      <c r="K30" s="675"/>
      <c r="L30" s="675"/>
      <c r="M30" s="675"/>
      <c r="N30" s="676"/>
      <c r="O30" s="166"/>
      <c r="P30" s="166"/>
      <c r="Q30" s="166"/>
      <c r="R30" s="166"/>
      <c r="S30" s="166"/>
    </row>
    <row r="32" spans="2:20" ht="23.25" x14ac:dyDescent="0.25">
      <c r="B32" s="418" t="s">
        <v>165</v>
      </c>
    </row>
    <row r="33" spans="2:3" ht="23.25" x14ac:dyDescent="0.25">
      <c r="B33" s="419" t="s">
        <v>58</v>
      </c>
      <c r="C33" s="51" t="s">
        <v>138</v>
      </c>
    </row>
    <row r="34" spans="2:3" ht="23.25" x14ac:dyDescent="0.25">
      <c r="B34" s="420" t="s">
        <v>53</v>
      </c>
    </row>
    <row r="35" spans="2:3" ht="23.25" x14ac:dyDescent="0.25">
      <c r="B35" s="421" t="s">
        <v>41</v>
      </c>
    </row>
    <row r="36" spans="2:3" ht="23.25" x14ac:dyDescent="0.25">
      <c r="B36" s="422" t="s">
        <v>54</v>
      </c>
    </row>
  </sheetData>
  <mergeCells count="11">
    <mergeCell ref="O25:T26"/>
    <mergeCell ref="B6:B7"/>
    <mergeCell ref="I6:N6"/>
    <mergeCell ref="B27:N27"/>
    <mergeCell ref="B28:N28"/>
    <mergeCell ref="C2:L4"/>
    <mergeCell ref="B2:B4"/>
    <mergeCell ref="B29:N29"/>
    <mergeCell ref="B30:N30"/>
    <mergeCell ref="B25:N25"/>
    <mergeCell ref="C6:G6"/>
  </mergeCells>
  <conditionalFormatting sqref="H8:H22">
    <cfRule type="cellIs" dxfId="30" priority="5" operator="equal">
      <formula>"Bajo"</formula>
    </cfRule>
    <cfRule type="cellIs" dxfId="29" priority="6" operator="equal">
      <formula>"Moderado"</formula>
    </cfRule>
    <cfRule type="cellIs" dxfId="28" priority="7" operator="equal">
      <formula>"Alto"</formula>
    </cfRule>
    <cfRule type="cellIs" dxfId="27" priority="8" operator="equal">
      <formula>"Extremo"</formula>
    </cfRule>
  </conditionalFormatting>
  <conditionalFormatting sqref="N8:N22">
    <cfRule type="cellIs" dxfId="26" priority="1" operator="equal">
      <formula>"Bajo"</formula>
    </cfRule>
    <cfRule type="cellIs" dxfId="25" priority="2" operator="equal">
      <formula>"Moderado"</formula>
    </cfRule>
    <cfRule type="cellIs" dxfId="24" priority="3" operator="equal">
      <formula>"Alto"</formula>
    </cfRule>
    <cfRule type="cellIs" dxfId="23" priority="4" operator="equal">
      <formula>"Extremo"</formula>
    </cfRule>
  </conditionalFormatting>
  <pageMargins left="0.7" right="0.7" top="0.75" bottom="0.75" header="0.3" footer="0.3"/>
  <pageSetup scale="83" fitToHeight="0"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9933"/>
    <pageSetUpPr fitToPage="1"/>
  </sheetPr>
  <dimension ref="B1:K32"/>
  <sheetViews>
    <sheetView zoomScale="55" zoomScaleNormal="55" workbookViewId="0">
      <pane xSplit="5" ySplit="8" topLeftCell="K9" activePane="bottomRight" state="frozen"/>
      <selection pane="topRight" activeCell="F1" sqref="F1"/>
      <selection pane="bottomLeft" activeCell="A9" sqref="A9"/>
      <selection pane="bottomRight" activeCell="D30" sqref="D30"/>
    </sheetView>
  </sheetViews>
  <sheetFormatPr baseColWidth="10" defaultColWidth="11.42578125" defaultRowHeight="16.5" x14ac:dyDescent="0.3"/>
  <cols>
    <col min="1" max="1" width="11.42578125" style="43"/>
    <col min="2" max="2" width="12.7109375" style="43" customWidth="1"/>
    <col min="3" max="3" width="47.5703125" style="107" customWidth="1"/>
    <col min="4" max="4" width="86.5703125" style="107" customWidth="1"/>
    <col min="5" max="5" width="73" style="43" customWidth="1"/>
    <col min="6" max="6" width="47.28515625" style="43" customWidth="1"/>
    <col min="7" max="7" width="24.28515625" style="43" customWidth="1"/>
    <col min="8" max="8" width="26" style="43" customWidth="1"/>
    <col min="9" max="9" width="22.28515625" style="43" customWidth="1"/>
    <col min="10" max="10" width="85" style="43" customWidth="1"/>
    <col min="11" max="11" width="35" style="43" customWidth="1"/>
    <col min="12" max="16384" width="11.42578125" style="43"/>
  </cols>
  <sheetData>
    <row r="1" spans="2:11" ht="17.25" thickBot="1" x14ac:dyDescent="0.35"/>
    <row r="2" spans="2:11" s="50" customFormat="1" ht="30" customHeight="1" x14ac:dyDescent="0.25">
      <c r="B2" s="634"/>
      <c r="C2" s="636"/>
      <c r="D2" s="644" t="s">
        <v>511</v>
      </c>
      <c r="E2" s="644"/>
      <c r="F2" s="644"/>
      <c r="G2" s="644"/>
      <c r="H2" s="644"/>
      <c r="I2" s="644"/>
      <c r="J2" s="497" t="s">
        <v>583</v>
      </c>
      <c r="K2" s="499" t="s">
        <v>513</v>
      </c>
    </row>
    <row r="3" spans="2:11" s="50" customFormat="1" ht="30" customHeight="1" x14ac:dyDescent="0.25">
      <c r="B3" s="637"/>
      <c r="C3" s="639"/>
      <c r="D3" s="646"/>
      <c r="E3" s="646"/>
      <c r="F3" s="646"/>
      <c r="G3" s="646"/>
      <c r="H3" s="646"/>
      <c r="I3" s="646"/>
      <c r="J3" s="496" t="s">
        <v>584</v>
      </c>
      <c r="K3" s="500">
        <v>4</v>
      </c>
    </row>
    <row r="4" spans="2:11" s="50" customFormat="1" ht="30" customHeight="1" thickBot="1" x14ac:dyDescent="0.3">
      <c r="B4" s="640"/>
      <c r="C4" s="642"/>
      <c r="D4" s="648"/>
      <c r="E4" s="648"/>
      <c r="F4" s="648"/>
      <c r="G4" s="648"/>
      <c r="H4" s="648"/>
      <c r="I4" s="648"/>
      <c r="J4" s="498" t="s">
        <v>153</v>
      </c>
      <c r="K4" s="501">
        <v>44719</v>
      </c>
    </row>
    <row r="7" spans="2:11" ht="17.25" thickBot="1" x14ac:dyDescent="0.35"/>
    <row r="8" spans="2:11" s="379" customFormat="1" ht="31.5" customHeight="1" thickBot="1" x14ac:dyDescent="0.3">
      <c r="B8" s="477" t="s">
        <v>10</v>
      </c>
      <c r="C8" s="478" t="s">
        <v>95</v>
      </c>
      <c r="D8" s="478" t="s">
        <v>82</v>
      </c>
      <c r="E8" s="479" t="s">
        <v>137</v>
      </c>
      <c r="F8" s="480" t="s">
        <v>136</v>
      </c>
      <c r="G8" s="481" t="s">
        <v>462</v>
      </c>
      <c r="H8" s="482" t="s">
        <v>463</v>
      </c>
      <c r="I8" s="481" t="s">
        <v>464</v>
      </c>
      <c r="J8" s="504" t="s">
        <v>401</v>
      </c>
      <c r="K8" s="505"/>
    </row>
    <row r="9" spans="2:11" s="44" customFormat="1" ht="135.75" customHeight="1" x14ac:dyDescent="0.25">
      <c r="B9" s="450" t="s">
        <v>97</v>
      </c>
      <c r="C9" s="451" t="s">
        <v>477</v>
      </c>
      <c r="D9" s="451" t="s">
        <v>365</v>
      </c>
      <c r="E9" s="451" t="s">
        <v>338</v>
      </c>
      <c r="F9" s="54" t="s">
        <v>391</v>
      </c>
      <c r="G9" s="461">
        <v>1</v>
      </c>
      <c r="H9" s="461">
        <v>0</v>
      </c>
      <c r="I9" s="461">
        <v>0</v>
      </c>
      <c r="J9" s="502" t="s">
        <v>585</v>
      </c>
      <c r="K9" s="503" t="s">
        <v>140</v>
      </c>
    </row>
    <row r="10" spans="2:11" ht="141" customHeight="1" x14ac:dyDescent="0.3">
      <c r="B10" s="452" t="s">
        <v>98</v>
      </c>
      <c r="C10" s="453" t="s">
        <v>533</v>
      </c>
      <c r="D10" s="453" t="s">
        <v>514</v>
      </c>
      <c r="E10" s="453" t="s">
        <v>530</v>
      </c>
      <c r="F10" s="61" t="s">
        <v>536</v>
      </c>
      <c r="G10" s="459">
        <v>2.9818334463495755</v>
      </c>
      <c r="H10" s="459">
        <v>0</v>
      </c>
      <c r="I10" s="459">
        <v>0</v>
      </c>
      <c r="J10" s="475" t="s">
        <v>586</v>
      </c>
      <c r="K10" s="150" t="s">
        <v>140</v>
      </c>
    </row>
    <row r="11" spans="2:11" ht="161.25" customHeight="1" x14ac:dyDescent="0.3">
      <c r="B11" s="452" t="s">
        <v>99</v>
      </c>
      <c r="C11" s="453" t="s">
        <v>581</v>
      </c>
      <c r="D11" s="453" t="s">
        <v>368</v>
      </c>
      <c r="E11" s="453" t="s">
        <v>528</v>
      </c>
      <c r="F11" s="61" t="s">
        <v>532</v>
      </c>
      <c r="G11" s="459">
        <v>0.10211706102117062</v>
      </c>
      <c r="H11" s="459">
        <v>0</v>
      </c>
      <c r="I11" s="459">
        <v>0</v>
      </c>
      <c r="J11" s="475" t="s">
        <v>586</v>
      </c>
      <c r="K11" s="150" t="s">
        <v>140</v>
      </c>
    </row>
    <row r="12" spans="2:11" ht="187.5" customHeight="1" x14ac:dyDescent="0.3">
      <c r="B12" s="452" t="s">
        <v>100</v>
      </c>
      <c r="C12" s="453" t="s">
        <v>517</v>
      </c>
      <c r="D12" s="453" t="s">
        <v>370</v>
      </c>
      <c r="E12" s="453" t="s">
        <v>516</v>
      </c>
      <c r="F12" s="61" t="s">
        <v>392</v>
      </c>
      <c r="G12" s="459">
        <v>0</v>
      </c>
      <c r="H12" s="459" t="e">
        <v>#DIV/0!</v>
      </c>
      <c r="I12" s="459" t="e">
        <v>#DIV/0!</v>
      </c>
      <c r="J12" s="475" t="s">
        <v>587</v>
      </c>
      <c r="K12" s="150" t="s">
        <v>140</v>
      </c>
    </row>
    <row r="13" spans="2:11" ht="78.75" x14ac:dyDescent="0.3">
      <c r="B13" s="452" t="s">
        <v>101</v>
      </c>
      <c r="C13" s="453" t="s">
        <v>478</v>
      </c>
      <c r="D13" s="453" t="s">
        <v>449</v>
      </c>
      <c r="E13" s="453" t="s">
        <v>451</v>
      </c>
      <c r="F13" s="454" t="s">
        <v>450</v>
      </c>
      <c r="G13" s="460">
        <v>1</v>
      </c>
      <c r="H13" s="460" t="e">
        <v>#DIV/0!</v>
      </c>
      <c r="I13" s="460" t="e">
        <v>#DIV/0!</v>
      </c>
      <c r="J13" s="475" t="s">
        <v>588</v>
      </c>
      <c r="K13" s="150" t="s">
        <v>140</v>
      </c>
    </row>
    <row r="14" spans="2:11" ht="63" x14ac:dyDescent="0.3">
      <c r="B14" s="452" t="s">
        <v>102</v>
      </c>
      <c r="C14" s="453" t="s">
        <v>479</v>
      </c>
      <c r="D14" s="453" t="s">
        <v>373</v>
      </c>
      <c r="E14" s="453" t="s">
        <v>452</v>
      </c>
      <c r="F14" s="454" t="s">
        <v>548</v>
      </c>
      <c r="G14" s="460">
        <v>1</v>
      </c>
      <c r="H14" s="460" t="e">
        <v>#DIV/0!</v>
      </c>
      <c r="I14" s="460" t="e">
        <v>#DIV/0!</v>
      </c>
      <c r="J14" s="475" t="s">
        <v>589</v>
      </c>
      <c r="K14" s="150" t="s">
        <v>140</v>
      </c>
    </row>
    <row r="15" spans="2:11" ht="47.25" x14ac:dyDescent="0.3">
      <c r="B15" s="452" t="s">
        <v>103</v>
      </c>
      <c r="C15" s="453" t="s">
        <v>560</v>
      </c>
      <c r="D15" s="453" t="s">
        <v>414</v>
      </c>
      <c r="E15" s="453" t="s">
        <v>565</v>
      </c>
      <c r="F15" s="454" t="s">
        <v>393</v>
      </c>
      <c r="G15" s="490">
        <v>1</v>
      </c>
      <c r="H15" s="490">
        <v>0</v>
      </c>
      <c r="I15" s="490">
        <v>0</v>
      </c>
      <c r="J15" s="491" t="s">
        <v>590</v>
      </c>
      <c r="K15" s="150" t="s">
        <v>140</v>
      </c>
    </row>
    <row r="16" spans="2:11" ht="289.5" customHeight="1" x14ac:dyDescent="0.3">
      <c r="B16" s="452" t="s">
        <v>104</v>
      </c>
      <c r="C16" s="453" t="s">
        <v>480</v>
      </c>
      <c r="D16" s="453" t="s">
        <v>415</v>
      </c>
      <c r="E16" s="453" t="s">
        <v>341</v>
      </c>
      <c r="F16" s="454" t="s">
        <v>416</v>
      </c>
      <c r="G16" s="460">
        <v>1</v>
      </c>
      <c r="H16" s="460">
        <v>0</v>
      </c>
      <c r="I16" s="460">
        <v>0</v>
      </c>
      <c r="J16" s="475" t="s">
        <v>591</v>
      </c>
      <c r="K16" s="150" t="s">
        <v>140</v>
      </c>
    </row>
    <row r="17" spans="2:11" ht="78.75" x14ac:dyDescent="0.3">
      <c r="B17" s="452" t="s">
        <v>105</v>
      </c>
      <c r="C17" s="453" t="s">
        <v>481</v>
      </c>
      <c r="D17" s="453" t="s">
        <v>412</v>
      </c>
      <c r="E17" s="453" t="s">
        <v>345</v>
      </c>
      <c r="F17" s="454" t="s">
        <v>556</v>
      </c>
      <c r="G17" s="460">
        <v>0</v>
      </c>
      <c r="H17" s="460" t="e">
        <v>#DIV/0!</v>
      </c>
      <c r="I17" s="460" t="e">
        <v>#DIV/0!</v>
      </c>
      <c r="J17" s="475" t="s">
        <v>592</v>
      </c>
      <c r="K17" s="150" t="s">
        <v>140</v>
      </c>
    </row>
    <row r="18" spans="2:11" ht="103.5" customHeight="1" x14ac:dyDescent="0.3">
      <c r="B18" s="452" t="s">
        <v>106</v>
      </c>
      <c r="C18" s="453" t="s">
        <v>523</v>
      </c>
      <c r="D18" s="453" t="s">
        <v>427</v>
      </c>
      <c r="E18" s="453" t="s">
        <v>524</v>
      </c>
      <c r="F18" s="454" t="s">
        <v>426</v>
      </c>
      <c r="G18" s="460">
        <v>0.23076923076923078</v>
      </c>
      <c r="H18" s="460">
        <v>0.38461538461538464</v>
      </c>
      <c r="I18" s="460">
        <v>0.46153846153846156</v>
      </c>
      <c r="J18" s="475" t="s">
        <v>593</v>
      </c>
      <c r="K18" s="150" t="s">
        <v>140</v>
      </c>
    </row>
    <row r="19" spans="2:11" ht="80.25" customHeight="1" x14ac:dyDescent="0.3">
      <c r="B19" s="452" t="s">
        <v>107</v>
      </c>
      <c r="C19" s="453" t="s">
        <v>561</v>
      </c>
      <c r="D19" s="453" t="s">
        <v>428</v>
      </c>
      <c r="E19" s="453" t="s">
        <v>566</v>
      </c>
      <c r="F19" s="454" t="s">
        <v>429</v>
      </c>
      <c r="G19" s="460">
        <v>0.61599999999999999</v>
      </c>
      <c r="H19" s="460">
        <v>1</v>
      </c>
      <c r="I19" s="460">
        <v>1</v>
      </c>
      <c r="J19" s="475" t="s">
        <v>594</v>
      </c>
      <c r="K19" s="150" t="s">
        <v>140</v>
      </c>
    </row>
    <row r="20" spans="2:11" ht="179.25" customHeight="1" x14ac:dyDescent="0.3">
      <c r="B20" s="452" t="s">
        <v>264</v>
      </c>
      <c r="C20" s="453" t="s">
        <v>577</v>
      </c>
      <c r="D20" s="453" t="s">
        <v>465</v>
      </c>
      <c r="E20" s="453" t="s">
        <v>578</v>
      </c>
      <c r="F20" s="454" t="s">
        <v>394</v>
      </c>
      <c r="G20" s="460">
        <v>0.42857142857142855</v>
      </c>
      <c r="H20" s="460">
        <v>0</v>
      </c>
      <c r="I20" s="460">
        <v>0</v>
      </c>
      <c r="J20" s="475" t="s">
        <v>595</v>
      </c>
      <c r="K20" s="150" t="s">
        <v>140</v>
      </c>
    </row>
    <row r="21" spans="2:11" ht="63" x14ac:dyDescent="0.3">
      <c r="B21" s="452" t="s">
        <v>265</v>
      </c>
      <c r="C21" s="453" t="s">
        <v>482</v>
      </c>
      <c r="D21" s="453" t="s">
        <v>379</v>
      </c>
      <c r="E21" s="453" t="s">
        <v>466</v>
      </c>
      <c r="F21" s="61" t="s">
        <v>527</v>
      </c>
      <c r="G21" s="459">
        <v>0</v>
      </c>
      <c r="H21" s="459" t="e">
        <v>#DIV/0!</v>
      </c>
      <c r="I21" s="459">
        <v>0</v>
      </c>
      <c r="J21" s="475" t="s">
        <v>596</v>
      </c>
      <c r="K21" s="150" t="s">
        <v>140</v>
      </c>
    </row>
    <row r="22" spans="2:11" ht="78.75" x14ac:dyDescent="0.3">
      <c r="B22" s="452" t="s">
        <v>266</v>
      </c>
      <c r="C22" s="453" t="s">
        <v>483</v>
      </c>
      <c r="D22" s="453" t="s">
        <v>459</v>
      </c>
      <c r="E22" s="453" t="s">
        <v>456</v>
      </c>
      <c r="F22" s="61" t="s">
        <v>395</v>
      </c>
      <c r="G22" s="459">
        <v>0.12536261187483763</v>
      </c>
      <c r="H22" s="459">
        <v>0.37530664559803739</v>
      </c>
      <c r="I22" s="459">
        <v>0.62705384297634303</v>
      </c>
      <c r="J22" s="475" t="s">
        <v>597</v>
      </c>
      <c r="K22" s="150" t="s">
        <v>140</v>
      </c>
    </row>
    <row r="23" spans="2:11" ht="153" customHeight="1" x14ac:dyDescent="0.3">
      <c r="B23" s="452" t="s">
        <v>267</v>
      </c>
      <c r="C23" s="453" t="s">
        <v>484</v>
      </c>
      <c r="D23" s="453" t="s">
        <v>381</v>
      </c>
      <c r="E23" s="453" t="s">
        <v>350</v>
      </c>
      <c r="F23" s="454" t="s">
        <v>405</v>
      </c>
      <c r="G23" s="460">
        <v>0.40206185567010311</v>
      </c>
      <c r="H23" s="460">
        <v>0.68041237113402064</v>
      </c>
      <c r="I23" s="460">
        <v>1</v>
      </c>
      <c r="J23" s="475" t="s">
        <v>598</v>
      </c>
      <c r="K23" s="150" t="s">
        <v>140</v>
      </c>
    </row>
    <row r="24" spans="2:11" ht="47.25" x14ac:dyDescent="0.3">
      <c r="B24" s="452" t="s">
        <v>328</v>
      </c>
      <c r="C24" s="453" t="s">
        <v>485</v>
      </c>
      <c r="D24" s="453" t="s">
        <v>408</v>
      </c>
      <c r="E24" s="453" t="s">
        <v>406</v>
      </c>
      <c r="F24" s="454" t="s">
        <v>396</v>
      </c>
      <c r="G24" s="460">
        <v>0.2</v>
      </c>
      <c r="H24" s="460">
        <v>0.4</v>
      </c>
      <c r="I24" s="460">
        <v>0.60000000000000009</v>
      </c>
      <c r="J24" s="475" t="s">
        <v>598</v>
      </c>
      <c r="K24" s="150" t="s">
        <v>140</v>
      </c>
    </row>
    <row r="25" spans="2:11" ht="47.25" x14ac:dyDescent="0.3">
      <c r="B25" s="452" t="s">
        <v>329</v>
      </c>
      <c r="C25" s="453" t="s">
        <v>486</v>
      </c>
      <c r="D25" s="453" t="s">
        <v>383</v>
      </c>
      <c r="E25" s="453" t="s">
        <v>410</v>
      </c>
      <c r="F25" s="454" t="s">
        <v>397</v>
      </c>
      <c r="G25" s="460">
        <v>0.2857142857142857</v>
      </c>
      <c r="H25" s="460">
        <v>0.71428571428571419</v>
      </c>
      <c r="I25" s="460">
        <v>0.82857142857142851</v>
      </c>
      <c r="J25" s="475" t="s">
        <v>598</v>
      </c>
      <c r="K25" s="150" t="s">
        <v>140</v>
      </c>
    </row>
    <row r="26" spans="2:11" ht="47.25" x14ac:dyDescent="0.3">
      <c r="B26" s="452" t="s">
        <v>330</v>
      </c>
      <c r="C26" s="453" t="s">
        <v>487</v>
      </c>
      <c r="D26" s="453" t="s">
        <v>384</v>
      </c>
      <c r="E26" s="453" t="s">
        <v>454</v>
      </c>
      <c r="F26" s="471" t="s">
        <v>398</v>
      </c>
      <c r="G26" s="459">
        <v>0.81818181818181823</v>
      </c>
      <c r="H26" s="459">
        <v>0</v>
      </c>
      <c r="I26" s="459">
        <v>0</v>
      </c>
      <c r="J26" s="475" t="s">
        <v>599</v>
      </c>
      <c r="K26" s="150" t="s">
        <v>140</v>
      </c>
    </row>
    <row r="27" spans="2:11" ht="127.5" customHeight="1" x14ac:dyDescent="0.3">
      <c r="B27" s="452" t="s">
        <v>331</v>
      </c>
      <c r="C27" s="453" t="s">
        <v>488</v>
      </c>
      <c r="D27" s="453" t="s">
        <v>386</v>
      </c>
      <c r="E27" s="453" t="s">
        <v>352</v>
      </c>
      <c r="F27" s="471" t="s">
        <v>399</v>
      </c>
      <c r="G27" s="459">
        <v>0</v>
      </c>
      <c r="H27" s="459" t="e">
        <v>#DIV/0!</v>
      </c>
      <c r="I27" s="459" t="e">
        <v>#DIV/0!</v>
      </c>
      <c r="J27" s="475" t="s">
        <v>600</v>
      </c>
      <c r="K27" s="150" t="s">
        <v>140</v>
      </c>
    </row>
    <row r="28" spans="2:11" ht="114.75" customHeight="1" x14ac:dyDescent="0.3">
      <c r="B28" s="452" t="s">
        <v>332</v>
      </c>
      <c r="C28" s="453" t="s">
        <v>489</v>
      </c>
      <c r="D28" s="453" t="s">
        <v>387</v>
      </c>
      <c r="E28" s="453" t="s">
        <v>467</v>
      </c>
      <c r="F28" s="61" t="s">
        <v>400</v>
      </c>
      <c r="G28" s="459">
        <v>0.66666666666666663</v>
      </c>
      <c r="H28" s="459">
        <v>0.66666666666666663</v>
      </c>
      <c r="I28" s="459">
        <v>0.73333333333333328</v>
      </c>
      <c r="J28" s="475" t="s">
        <v>601</v>
      </c>
      <c r="K28" s="150" t="s">
        <v>140</v>
      </c>
    </row>
    <row r="29" spans="2:11" ht="83.25" customHeight="1" x14ac:dyDescent="0.3">
      <c r="B29" s="452" t="s">
        <v>333</v>
      </c>
      <c r="C29" s="453" t="s">
        <v>537</v>
      </c>
      <c r="D29" s="453" t="s">
        <v>389</v>
      </c>
      <c r="E29" s="453" t="s">
        <v>539</v>
      </c>
      <c r="F29" s="471" t="s">
        <v>542</v>
      </c>
      <c r="G29" s="459">
        <v>1</v>
      </c>
      <c r="H29" s="459">
        <v>0</v>
      </c>
      <c r="I29" s="459">
        <v>0</v>
      </c>
      <c r="J29" s="474" t="s">
        <v>602</v>
      </c>
      <c r="K29" s="150" t="s">
        <v>140</v>
      </c>
    </row>
    <row r="30" spans="2:11" ht="116.25" customHeight="1" x14ac:dyDescent="0.3">
      <c r="B30" s="452" t="s">
        <v>334</v>
      </c>
      <c r="C30" s="453" t="s">
        <v>538</v>
      </c>
      <c r="D30" s="453" t="s">
        <v>436</v>
      </c>
      <c r="E30" s="453" t="s">
        <v>435</v>
      </c>
      <c r="F30" s="471" t="s">
        <v>544</v>
      </c>
      <c r="G30" s="459">
        <v>1</v>
      </c>
      <c r="H30" s="459">
        <v>0</v>
      </c>
      <c r="I30" s="459">
        <v>0</v>
      </c>
      <c r="J30" s="474" t="s">
        <v>603</v>
      </c>
      <c r="K30" s="150" t="s">
        <v>140</v>
      </c>
    </row>
    <row r="31" spans="2:11" ht="47.25" x14ac:dyDescent="0.3">
      <c r="B31" s="452" t="s">
        <v>335</v>
      </c>
      <c r="C31" s="453" t="s">
        <v>549</v>
      </c>
      <c r="D31" s="453" t="s">
        <v>554</v>
      </c>
      <c r="E31" s="453" t="s">
        <v>550</v>
      </c>
      <c r="F31" s="471" t="s">
        <v>555</v>
      </c>
      <c r="G31" s="459">
        <v>1</v>
      </c>
      <c r="H31" s="459">
        <v>0</v>
      </c>
      <c r="I31" s="459">
        <v>0</v>
      </c>
      <c r="J31" s="475" t="s">
        <v>604</v>
      </c>
      <c r="K31" s="150" t="s">
        <v>140</v>
      </c>
    </row>
    <row r="32" spans="2:11" ht="115.5" customHeight="1" thickBot="1" x14ac:dyDescent="0.35">
      <c r="B32" s="492" t="s">
        <v>336</v>
      </c>
      <c r="C32" s="493" t="s">
        <v>562</v>
      </c>
      <c r="D32" s="493" t="s">
        <v>557</v>
      </c>
      <c r="E32" s="493" t="s">
        <v>570</v>
      </c>
      <c r="F32" s="494" t="s">
        <v>558</v>
      </c>
      <c r="G32" s="506">
        <v>0.24</v>
      </c>
      <c r="H32" s="495">
        <v>0</v>
      </c>
      <c r="I32" s="495">
        <v>4.5449445971373426E-3</v>
      </c>
      <c r="J32" s="476"/>
      <c r="K32" s="150" t="s">
        <v>140</v>
      </c>
    </row>
  </sheetData>
  <mergeCells count="2">
    <mergeCell ref="B2:C4"/>
    <mergeCell ref="D2:I4"/>
  </mergeCells>
  <pageMargins left="0.7" right="0.7" top="0.75" bottom="0.75" header="0.3" footer="0.3"/>
  <pageSetup paperSize="14" scale="43" fitToHeight="0"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Listas!$E$10:$E$11</xm:f>
          </x14:formula1>
          <xm:sqref>K9:K32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tabColor rgb="FFFF9933"/>
    <pageSetUpPr fitToPage="1"/>
  </sheetPr>
  <dimension ref="B1:K32"/>
  <sheetViews>
    <sheetView zoomScale="55" zoomScaleNormal="55" workbookViewId="0">
      <pane xSplit="5" ySplit="8" topLeftCell="F9" activePane="bottomRight" state="frozen"/>
      <selection pane="topRight" activeCell="F1" sqref="F1"/>
      <selection pane="bottomLeft" activeCell="A9" sqref="A9"/>
      <selection pane="bottomRight" sqref="A1:XFD1048576"/>
    </sheetView>
  </sheetViews>
  <sheetFormatPr baseColWidth="10" defaultColWidth="11.42578125" defaultRowHeight="16.5" x14ac:dyDescent="0.3"/>
  <cols>
    <col min="1" max="1" width="11.42578125" style="43"/>
    <col min="2" max="2" width="12.7109375" style="43" customWidth="1"/>
    <col min="3" max="3" width="47.5703125" style="107" hidden="1" customWidth="1"/>
    <col min="4" max="4" width="86.5703125" style="107" hidden="1" customWidth="1"/>
    <col min="5" max="5" width="73" style="43" hidden="1" customWidth="1"/>
    <col min="6" max="6" width="47.28515625" style="43" customWidth="1"/>
    <col min="7" max="7" width="24.28515625" style="43" customWidth="1"/>
    <col min="8" max="8" width="26" style="43" customWidth="1"/>
    <col min="9" max="9" width="22.28515625" style="43" customWidth="1"/>
    <col min="10" max="10" width="104.7109375" style="43" customWidth="1"/>
    <col min="11" max="11" width="35" style="43" customWidth="1"/>
    <col min="12" max="16384" width="11.42578125" style="43"/>
  </cols>
  <sheetData>
    <row r="1" spans="2:11" ht="17.25" thickBot="1" x14ac:dyDescent="0.35"/>
    <row r="2" spans="2:11" s="50" customFormat="1" ht="30" customHeight="1" x14ac:dyDescent="0.25">
      <c r="B2" s="634"/>
      <c r="C2" s="636"/>
      <c r="D2" s="644" t="s">
        <v>511</v>
      </c>
      <c r="E2" s="644"/>
      <c r="F2" s="644"/>
      <c r="G2" s="644"/>
      <c r="H2" s="644"/>
      <c r="I2" s="644"/>
      <c r="J2" s="497" t="s">
        <v>583</v>
      </c>
      <c r="K2" s="499" t="s">
        <v>513</v>
      </c>
    </row>
    <row r="3" spans="2:11" s="50" customFormat="1" ht="30" customHeight="1" x14ac:dyDescent="0.25">
      <c r="B3" s="637"/>
      <c r="C3" s="639"/>
      <c r="D3" s="646"/>
      <c r="E3" s="646"/>
      <c r="F3" s="646"/>
      <c r="G3" s="646"/>
      <c r="H3" s="646"/>
      <c r="I3" s="646"/>
      <c r="J3" s="496" t="s">
        <v>584</v>
      </c>
      <c r="K3" s="500">
        <v>4</v>
      </c>
    </row>
    <row r="4" spans="2:11" s="50" customFormat="1" ht="30" customHeight="1" thickBot="1" x14ac:dyDescent="0.3">
      <c r="B4" s="640"/>
      <c r="C4" s="642"/>
      <c r="D4" s="648"/>
      <c r="E4" s="648"/>
      <c r="F4" s="648"/>
      <c r="G4" s="648"/>
      <c r="H4" s="648"/>
      <c r="I4" s="648"/>
      <c r="J4" s="498" t="s">
        <v>153</v>
      </c>
      <c r="K4" s="501">
        <v>44719</v>
      </c>
    </row>
    <row r="7" spans="2:11" ht="17.25" thickBot="1" x14ac:dyDescent="0.35"/>
    <row r="8" spans="2:11" s="379" customFormat="1" ht="31.5" customHeight="1" thickBot="1" x14ac:dyDescent="0.3">
      <c r="B8" s="477" t="s">
        <v>10</v>
      </c>
      <c r="C8" s="478" t="s">
        <v>95</v>
      </c>
      <c r="D8" s="478" t="s">
        <v>82</v>
      </c>
      <c r="E8" s="479" t="s">
        <v>137</v>
      </c>
      <c r="F8" s="480" t="s">
        <v>136</v>
      </c>
      <c r="G8" s="481" t="s">
        <v>462</v>
      </c>
      <c r="H8" s="482" t="s">
        <v>463</v>
      </c>
      <c r="I8" s="481" t="s">
        <v>464</v>
      </c>
      <c r="J8" s="693" t="s">
        <v>401</v>
      </c>
      <c r="K8" s="694"/>
    </row>
    <row r="9" spans="2:11" s="44" customFormat="1" ht="135.75" customHeight="1" x14ac:dyDescent="0.25">
      <c r="B9" s="450" t="str">
        <f>+'Matriz de Riesgos'!B9</f>
        <v>R1</v>
      </c>
      <c r="C9" s="451" t="str">
        <f>'Matriz de Riesgos'!G9</f>
        <v>Posibilidad de pérdida de unidades documentales</v>
      </c>
      <c r="D9" s="451" t="str">
        <f>+'Evaluación-Tratamiento'!N10</f>
        <v xml:space="preserve">Socializacion de informacion adecuada para el manejo y tratamiento de flujo de ingreso de las unidades documentales dentro de la entidad; capacitaciones de gestion documental a funcionarios y contratistas al debido proceso del  formato de control de traslado interno de unidad de documentos. </v>
      </c>
      <c r="E9" s="451" t="str">
        <f>'Matriz de Riesgos'!F9</f>
        <v>No contar con la debida disposición y salvaguarda de los documentos, lo cual hace que sean vulnerables para su manipulación y perdida 
Rotación de unidades documentales entre funcionarios de la Entidad, sin el previo aviso a Gestión Documental
Pérdida, destrucción o daño total en la documentación física a causa de evento catastrófico en el lugar de custodia del archivo.</v>
      </c>
      <c r="F9" s="54" t="s">
        <v>391</v>
      </c>
      <c r="G9" s="461">
        <f>+[3]Seguimiento!$I$10</f>
        <v>0.73260073260073255</v>
      </c>
      <c r="H9" s="461">
        <f>+[3]Seguimiento!$I$11</f>
        <v>0.6974358974358974</v>
      </c>
      <c r="I9" s="461">
        <f>+[3]Seguimiento!$I$12</f>
        <v>1</v>
      </c>
      <c r="J9" s="502" t="str">
        <f>+CONCATENATE(" 1-   ","   ",[3]Seguimiento!$K$10,"       "," 2-  ","           ",[3]Seguimiento!$K$11,"         ", " 3-   ", "     ",[3]Seguimiento!$K$12)</f>
        <v xml:space="preserve"> 1-      Para este seguimiento, se tuvo en cuenta que estuviera firmada la casilla de devolución de expedientes, lo que nos deja en evidencia que anteriormente no se llevaba un control estricto sobre el préstamo de expedientes. Lo anterior, puede repercutir en la pérdida de expedientes.        2-             En este seguimiento, se pudo evidenciar que en mayo y junio no se realizó un control estricto sobre el préstamo de expedientes, sin embargo, en arás de fortalecer ese proceso se actualizó el formato y se lleva un control más estricto del préstramo a partir del 8 julio, fecha en la cual se posesionó el funcionario de carrera. Sin embargo, se realizó una verificación y se evidenció la materialización del riesgo en cuanto a que el primer semestre no se hizo un control efectivo a este.          3-        Para este seguimiento, se realizó un total de cuatrocientos quince (415) préstamos de expedientes de los cuales se llevo registro y seguimiento hasta su devolución con el fin de garantizar la custodia de este,</v>
      </c>
      <c r="K9" s="503" t="s">
        <v>140</v>
      </c>
    </row>
    <row r="10" spans="2:11" ht="141" customHeight="1" x14ac:dyDescent="0.3">
      <c r="B10" s="452" t="str">
        <f>+'Matriz de Riesgos'!B10</f>
        <v>R2</v>
      </c>
      <c r="C10" s="453" t="str">
        <f>'Matriz de Riesgos'!G10</f>
        <v>Posibilidad de inconsistencia en la liquidación de cesiones tipo A respecto al área o valor liquidado.</v>
      </c>
      <c r="D10" s="453" t="str">
        <f>+'Evaluación-Tratamiento'!N11</f>
        <v>Acuerdo de cooperación entre Entidades Municipales, de los procesos, procedimientos y coceptos propios de Gestión Inmobiliaria implementados para el cumplimiento de las obligaciones.
* Monitoreo, control y seguimiento trimestral de los procesos consecutivos de solicitudes en las listas de chequeo referenciado. 
* Hacer pública la información de los documentos y conceptos emitidos por Gestión Inmobiliaria al igual que la concertación previa sobre las cesiones obligatorias. 
* Realizar estudios técnicos y juridicos de predios para adquirir  como espacio público en sus diferentes destinaciones.</v>
      </c>
      <c r="E10" s="453" t="str">
        <f>'Matriz de Riesgos'!F10</f>
        <v>Desconocimiento en la norma aplicable y las respectivas aplicaciones de compensación de acuerdo a la solicitud de concertación.
Falta de soportes para validar la información de la cesiópn tipo A que requiere ser concertada y posteriormente liquidada.</v>
      </c>
      <c r="F10" s="61" t="s">
        <v>536</v>
      </c>
      <c r="G10" s="459">
        <f>+[4]Seguimiento!$I$10</f>
        <v>2.9818334463495755</v>
      </c>
      <c r="H10" s="459">
        <f>+[4]Seguimiento!$I$11</f>
        <v>3.3895690996414802</v>
      </c>
      <c r="I10" s="459">
        <f>+[4]Seguimiento!$I$12</f>
        <v>1</v>
      </c>
      <c r="J10" s="475" t="str">
        <f>+CONCATENATE(" 1-   ","   ",[4]Seguimiento!$K$10,"       "," 2-  ","        ",[4]Seguimiento!$K$11,"       ", " 3-   ", [4]Seguimiento!$K$12)</f>
        <v xml:space="preserve"> 1-      Se realizaron 2 resoluciones de liquidación entre Enero y Abril que venían de meses anteriores        2-          Se realizaron 5 resoluciones de liquidación entre Mato y Agosto que vienen de meses anteriores, sin embargo solo se han solicitado 2 durante el periodo de tiempo        3-   Para el este periodo se evidencia que desde el proceso se realizarón las resoluciones de liquidación que vienen de meses anteriores y de este periodo donde se realizarón los controles establecidos mitigando el riesgo du rante este periodo de tiempo</v>
      </c>
      <c r="K10" s="150" t="s">
        <v>140</v>
      </c>
    </row>
    <row r="11" spans="2:11" ht="161.25" customHeight="1" x14ac:dyDescent="0.3">
      <c r="B11" s="452" t="str">
        <f>+'Matriz de Riesgos'!B11</f>
        <v>R3</v>
      </c>
      <c r="C11" s="453" t="str">
        <f>'Matriz de Riesgos'!G11</f>
        <v>Posibilidad de retraso en la identificación y georeferenciación de predios del registro unico de patrimonio inmobiliario por parte del apoyo del proceso de G.I.</v>
      </c>
      <c r="D11" s="453" t="str">
        <f>+'Evaluación-Tratamiento'!N12</f>
        <v xml:space="preserve">Caracterizar y sistematizar toda la información técnica  y juridica de cada uno de los predios que conforman la Base de datos EXCEL al igual que en la georeferenciación en ARGIS  y Google Maps.  .
* Monitoreo, control y seguimiento semestral de la información con alcenace sobre los expedientes fisicos que reposan en la entidad, mediante listas de chequeo y selección de nuevos predios  mediantes actas de entrega y dotaciones. 
* Hacer pública la información de los predios que conforman el patrimonio inmobiliario con el inventario actualizado durante las vigencias. </v>
      </c>
      <c r="E11" s="453" t="str">
        <f>'Matriz de Riesgos'!F11</f>
        <v>Desinformación de predios o franjas de los elementos del espacio público municipal en m2  por uso y destinación, para la implementación de politicas, planes, programas y proyectos de la administración.
Desconocimiento de los predios que formen parte y propiedad del Municipio.</v>
      </c>
      <c r="F11" s="61" t="s">
        <v>532</v>
      </c>
      <c r="G11" s="459">
        <f>+[4]Seguimiento!$I$13</f>
        <v>0.10211706102117062</v>
      </c>
      <c r="H11" s="459">
        <f>+[4]Seguimiento!$I$14</f>
        <v>0.30510585305105853</v>
      </c>
      <c r="I11" s="459">
        <f>+[4]Seguimiento!$I$15</f>
        <v>0.48941469489414691</v>
      </c>
      <c r="J11" s="475" t="str">
        <f>+CONCATENATE(" 1-   ","   ",[4]Seguimiento!$K$13,"       "," 2-  ","        ",[4]Seguimiento!$K$14,"       ", " 3-   ", [4]Seguimiento!$K$15)</f>
        <v xml:space="preserve"> 1-      82 predios Georeferenciados        2-          163 predios Georeferenciados        3-   </v>
      </c>
      <c r="K11" s="150" t="s">
        <v>140</v>
      </c>
    </row>
    <row r="12" spans="2:11" ht="220.5" customHeight="1" x14ac:dyDescent="0.3">
      <c r="B12" s="452" t="str">
        <f>+'Matriz de Riesgos'!B12</f>
        <v>R4</v>
      </c>
      <c r="C12" s="453" t="str">
        <f>'Matriz de Riesgos'!G12</f>
        <v>Posibilidad de incumplimiento a las actividades establecidas en el Plan Estratégico de Talento Humano</v>
      </c>
      <c r="D12" s="453" t="str">
        <f>+'Evaluación-Tratamiento'!N13</f>
        <v>Socialización y divulgación de todas las actividades que se desarrollen en cumplimiento del PETH y contol de participación por parte de los funcionarios.</v>
      </c>
      <c r="E12" s="453" t="str">
        <f>'Matriz de Riesgos'!F12</f>
        <v xml:space="preserve">1. Ausencia de un Plan Estratégico del Talento humano
2.  Inadecuada Programación y socialización. 
3. Falta de compromiso y participación por parte de los funcionarios a las actividades programadas. 
4. Dificultad en la disponibilidad de recursos. </v>
      </c>
      <c r="F12" s="61" t="s">
        <v>392</v>
      </c>
      <c r="G12" s="459">
        <v>0</v>
      </c>
      <c r="H12" s="459">
        <f>+[5]Seguimiento!$I$11</f>
        <v>0.35416666666666669</v>
      </c>
      <c r="I12" s="459">
        <f>+[5]Seguimiento!$I$12</f>
        <v>0.85416666666666663</v>
      </c>
      <c r="J12" s="475" t="str">
        <f>+CONCATENATE(" 1-   ","   ",[5]Seguimiento!$K$10,"       "," 2-  ","           ",[5]Seguimiento!$K$11,"         ", " 3-   ", "     ",[5]Seguimiento!$K$12)</f>
        <v xml:space="preserve"> 1-      Durante el primer cuatrimestre se expidieron y notificaron  28  Resoluciones de nombramiento de los 29 cargos que salieron a concurso de  la  Comisión Nacional de Servicio Civil 
Se otorgaron 5 permisos de un dia  por el dia del cumpleaños
durante el cuatrimestre se concedieron los permisos a los funcionarios para asistir  a las citas medicas de sus hijos y a sus reuniones escolares 
Se realizo  inducción de los jefes nuevos que llegaron en el mes de enero 
Se otorgaron  6 permisos por las llegadas en bicicleta de bicicletas
Se relizo una charla de autocuidado por parte de la Secretaria de Salud al Coppast 
Se realizaron los ecamenes medicos de ingreso y las paiosas activas          2-             En en segundo cuatrimestre  se han  posesionados 17 funcionarios de los 29 que ganaron el concursom Se otorgaron 9 permisos de un dia  por el dia del cumpleaños, para el dia del servidos publico se entregaron chaquetas a los funcionarios de la entidad, Se realizo induccion a los funcionarios que iniciaron el periodo de prueba, Durante este cuatrimestre se celebraron los cumpleaños de los funcionarios que cumplieron en los meses de julio y agosto, entregandoles un postre y arreglandoles el puesto de trabajo            3-        En el tercer cuatrimestre se lograron cumplir la mayoria de actividades del plan de bienesr, de capacitacion sin embargo no fue posible cumplir con todas las actividades del plan de seguridad y salud en el trabajo considerando lo siguiente: la encuesta riesgo psicosocial no se realizo, tomando en cuenta que  hubo cambio de planta de personal, la revisión de los puesto de trabajo no se realizo  porque no se  habia conformado el Copasst y la capacitación al Comite de Convivencia no se realizo teniendo en cuenta que el Comite se conformo  hasta en el mes de noviembre </v>
      </c>
      <c r="K12" s="150" t="s">
        <v>140</v>
      </c>
    </row>
    <row r="13" spans="2:11" ht="78.75" x14ac:dyDescent="0.3">
      <c r="B13" s="452" t="str">
        <f>+'Matriz de Riesgos'!B13</f>
        <v>R5</v>
      </c>
      <c r="C13" s="453" t="str">
        <f>'Matriz de Riesgos'!G13</f>
        <v xml:space="preserve">Posibilidad de inadecuado funcionamiento de los Sistemas de información y equipos de computo </v>
      </c>
      <c r="D13" s="453" t="str">
        <f>+'Evaluación-Tratamiento'!N14</f>
        <v>Llevar a cabo los mantenimientos preventivos cada seis meses de acuerdo al cronograma establecido 
Copias de seguridad, antivirus y entre otras actividades para salvaguradar información</v>
      </c>
      <c r="E13" s="453" t="str">
        <f>'Matriz de Riesgos'!F13</f>
        <v xml:space="preserve">Falta de mantenimiento preventivo y actualización de los sistemas de información y equipos 
Desactualización de los equipos y sus componentes.
Adquisición de soluciones tecnologicas que no cumplan con las necesidades y especificaciones tecnicas requeridas </v>
      </c>
      <c r="F13" s="454" t="s">
        <v>450</v>
      </c>
      <c r="G13" s="460">
        <v>1</v>
      </c>
      <c r="H13" s="460">
        <f>+[6]Seguimiento!$I$11</f>
        <v>1</v>
      </c>
      <c r="I13" s="460" t="e">
        <f>+[6]Seguimiento!$I$12</f>
        <v>#DIV/0!</v>
      </c>
      <c r="J13" s="475" t="str">
        <f>+CONCATENATE(" 1-   ","   ",[6]Seguimiento!$K$10,"       "," 2-  ","           ",[6]Seguimiento!$K$11,"         ", " 3-   ", "     ",[6]Seguimiento!$K$12)</f>
        <v xml:space="preserve"> 1-      Se establece el coronograma de mantenimientos preventivos a la infraestuctura tecnologia mediante circular 10 de 2024.
Por temas de cambio de administración y de posecion de los nuevos funcionarios en periodo de prueba se establecio por este año un mantenimiento preventivo.        2-             De acuerdo a la circular 10 se llevaron a cabo los mantenimientos preventivos de la infraestructura tecnológica en el mes de agosto          3-        NO APLICA</v>
      </c>
      <c r="K13" s="150" t="s">
        <v>140</v>
      </c>
    </row>
    <row r="14" spans="2:11" ht="63" x14ac:dyDescent="0.3">
      <c r="B14" s="452" t="str">
        <f>+'Matriz de Riesgos'!B14</f>
        <v>R6</v>
      </c>
      <c r="C14" s="453" t="str">
        <f>'Matriz de Riesgos'!G14</f>
        <v xml:space="preserve">Posibilidad de vulneración a la reserva e integridad de los sistemas de información </v>
      </c>
      <c r="D14" s="453" t="str">
        <f>+'Evaluación-Tratamiento'!N15</f>
        <v>Realizar copias de seguridad semanalmente
salvaguardar contraseñas de los equipos y las aplicaciones</v>
      </c>
      <c r="E14" s="453" t="str">
        <f>'Matriz de Riesgos'!F14</f>
        <v>*Falta de controles de acceso 
*Falta de actualizaciones 
*Falla en los equipos de seguridad perimetral
-Errores Humanos</v>
      </c>
      <c r="F14" s="454" t="s">
        <v>548</v>
      </c>
      <c r="G14" s="460">
        <f>+[6]Seguimiento!$I$13</f>
        <v>1</v>
      </c>
      <c r="H14" s="460">
        <f>+[6]Seguimiento!$I$14</f>
        <v>0.58823529411764708</v>
      </c>
      <c r="I14" s="460" t="e">
        <f>+[6]Seguimiento!$I$15</f>
        <v>#DIV/0!</v>
      </c>
      <c r="J14" s="475" t="str">
        <f>+CONCATENATE(" 1-   ","   ",[6]Seguimiento!$K$13,"       "," 2-  ","           ",[6]Seguimiento!$K$14,"         ", " 3-   ", "     ",[6]Seguimiento!$K$15)</f>
        <v xml:space="preserve"> 1-      Copias de seguridad bases de datos Orfeo y HASSQL, realizadas semanalmente.         2-             Copias de seguridad bases de datos Orfeo y HASSQL, realizadas semanalmente.  Es de acarar que las copias de seguridad se realizaron externamnete solo 10 dado a que el funcionario estaba de vacaciones          3-        DILIGENCIAR</v>
      </c>
      <c r="K14" s="150" t="s">
        <v>140</v>
      </c>
    </row>
    <row r="15" spans="2:11" ht="90.75" customHeight="1" x14ac:dyDescent="0.3">
      <c r="B15" s="452" t="str">
        <f>+'Matriz de Riesgos'!B15</f>
        <v>R7</v>
      </c>
      <c r="C15" s="453" t="str">
        <f>'Matriz de Riesgos'!G15</f>
        <v>Posibilidad de efecto dañoso sobre el inventario de bienes muebles y equipos de computo por daño o hurto.</v>
      </c>
      <c r="D15" s="453" t="str">
        <f>+'Evaluación-Tratamiento'!N16</f>
        <v xml:space="preserve">Realizar las actualizaciones del inventario cada vez que se presente la necesidad y asi mantenerlo actualizado para realizar la conciliación </v>
      </c>
      <c r="E15" s="453" t="str">
        <f>'Matriz de Riesgos'!F15</f>
        <v>Omisión en el procedimiento de ingresos y salidas del almacén conducente a que se presenten pérdidas, daños, hurtos en los bienes a cargo de los funcionarios.</v>
      </c>
      <c r="F15" s="454" t="s">
        <v>393</v>
      </c>
      <c r="G15" s="507">
        <f>+[7]Seguimiento!$I$10</f>
        <v>1</v>
      </c>
      <c r="H15" s="507">
        <f>+[7]Seguimiento!$I$11</f>
        <v>0</v>
      </c>
      <c r="I15" s="507">
        <f>+[7]Seguimiento!$I$12</f>
        <v>0</v>
      </c>
      <c r="J15" s="508" t="str">
        <f>+CONCATENATE(" 1-","   ",[7]Seguimiento!$K$10,"       "," 2-","           ",[8]Seguimiento!$K$11,"         ", " 3- ", "     ",[7]Seguimiento!$I$12)</f>
        <v xml:space="preserve"> 1-   Bienes inventariados sbre el total de bienes existentes en el proceso de recursos fisicos        2-           Actualmente, no esta vinculado el profesional encargado de este proceso, sin embargo, al no haberse dado de baja ningún bien ya que este proceso se realiza finalizando cada año, el número de bienes inventariados coincide con el total de bienes existentes.          3-      0</v>
      </c>
      <c r="K15" s="150" t="s">
        <v>140</v>
      </c>
    </row>
    <row r="16" spans="2:11" ht="289.5" customHeight="1" x14ac:dyDescent="0.3">
      <c r="B16" s="452" t="str">
        <f>+'Matriz de Riesgos'!B16</f>
        <v>R8</v>
      </c>
      <c r="C16" s="453" t="str">
        <f>'Matriz de Riesgos'!G16</f>
        <v xml:space="preserve">Posibilidad de Incumplimiento del plan de mantenimiento de los bienes fiscales a cargo de la Entidad. </v>
      </c>
      <c r="D16" s="453" t="str">
        <f>+'Evaluación-Tratamiento'!N17</f>
        <v xml:space="preserve">Hacer seguimiento a las actividades programadas en el plan de mantenimiento </v>
      </c>
      <c r="E16" s="453" t="str">
        <f>'Matriz de Riesgos'!F16</f>
        <v xml:space="preserve">No contar con el personal requerido para cubrir el mantenimiento de los predios durante el periodo
Falta de recursos 
Restricciones sanitarias que impiden dar cumplimiento al cronograma </v>
      </c>
      <c r="F16" s="454" t="s">
        <v>416</v>
      </c>
      <c r="G16" s="460">
        <f>+[7]Seguimiento!$I$13</f>
        <v>1</v>
      </c>
      <c r="H16" s="460">
        <f>+[7]Seguimiento!$I$14</f>
        <v>0</v>
      </c>
      <c r="I16" s="460">
        <f>+[7]Seguimiento!$I$15</f>
        <v>0</v>
      </c>
      <c r="J16" s="475" t="str">
        <f>+CONCATENATE("1-","   ",[7]Seguimiento!$K$13,"       ","2- ","           ",[8]Seguimiento!$K$14,"         ", " 3- ", "     ",[7]Seguimiento!$K$15)</f>
        <v>1-   Mantenimeinto Predios Hidircos       2-            Se realiza el mantenimeinto de los  Predios Hidircos Altagracia, Peñas Blancas, Rincón Alpino y El Refugio, sin embargo no se presenta un plan de matenimiento.           3-      OK</v>
      </c>
      <c r="K16" s="150" t="s">
        <v>140</v>
      </c>
    </row>
    <row r="17" spans="2:11" ht="110.25" x14ac:dyDescent="0.3">
      <c r="B17" s="452" t="str">
        <f>+'Matriz de Riesgos'!B17</f>
        <v>R9</v>
      </c>
      <c r="C17" s="453" t="str">
        <f>'Matriz de Riesgos'!G17</f>
        <v xml:space="preserve">Posibilidad de cálculo erroneo en compensación social </v>
      </c>
      <c r="D17" s="453" t="str">
        <f>+'Evaluación-Tratamiento'!N18</f>
        <v>Actualización e implementación del procedimiento de compensaciones sociales en el Sistema de Gestión de Calidad.</v>
      </c>
      <c r="E17" s="453" t="str">
        <f>'Matriz de Riesgos'!F17</f>
        <v xml:space="preserve">omision de información por parte de la población afectada. 
No disponer de los equipos tecnológicos necesarios (camara fotográfica) para tomar los registros de las visitas prediales.
ausencia de  procedimiento  documentado. 
</v>
      </c>
      <c r="F17" s="454" t="s">
        <v>556</v>
      </c>
      <c r="G17" s="460">
        <v>0</v>
      </c>
      <c r="H17" s="460">
        <f>+[9]Seguimiento!$I$11</f>
        <v>1</v>
      </c>
      <c r="I17" s="460">
        <f>+[9]Seguimiento!$I$12</f>
        <v>1</v>
      </c>
      <c r="J17" s="475" t="str">
        <f>+CONCATENATE("1-    ",[9]Seguimiento!$K$10,"2-   ",[9]Seguimiento!$K$11,"3-     ",[9]Seguimiento!$K$12)</f>
        <v xml:space="preserve">1-    OK. Durante el periodo a reportar no se ha generado liquidación de compensación social. 2-   OK. En el periodo a reportar no se ha generado liquidación de compensación social, debido a que, en el predio que se realizó caracterización socioeconomica no aplica dicha compensación. Las demas acciones del área se han orientado al proceso de subsidios de mejoramiento de vivienda y construcción en sitio propio, así como a los proyectos de vivienda, tales como: Los Pinos, Plan Padrino y Villa Mercedes.3-     OK. En el periodo a reportar no se ha generado liquidación de compensación social, debido a que, los predios: La Italia, Descanso segundo, Torca II, RT1 Y RT2 de la A.V Pradilla no cumplen con lo establecido para aplicar dicha compensación.  </v>
      </c>
      <c r="K17" s="150" t="s">
        <v>140</v>
      </c>
    </row>
    <row r="18" spans="2:11" ht="103.5" customHeight="1" x14ac:dyDescent="0.3">
      <c r="B18" s="452" t="str">
        <f>+'Matriz de Riesgos'!B18</f>
        <v>R10</v>
      </c>
      <c r="C18" s="453" t="str">
        <f>'Matriz de Riesgos'!G18</f>
        <v>Posibilidad de Demora en la elaboración de planos.</v>
      </c>
      <c r="D18" s="453" t="str">
        <f>+'Evaluación-Tratamiento'!N19</f>
        <v>Trabajar en conjunto con la Dirección de urbanismo del Municipio, para evitar la devolución de los planos.</v>
      </c>
      <c r="E18" s="453" t="str">
        <f>'Matriz de Riesgos'!F18</f>
        <v xml:space="preserve">Requerimientos adicionales que requieren ajustes indicados por parte de la Dirección de urbanismo del Municipio </v>
      </c>
      <c r="F18" s="454" t="s">
        <v>426</v>
      </c>
      <c r="G18" s="460">
        <f>+[10]Seguimiento!$I$19</f>
        <v>0.23076923076923078</v>
      </c>
      <c r="H18" s="460">
        <f>+[10]Seguimiento!$I$20</f>
        <v>0.38461538461538464</v>
      </c>
      <c r="I18" s="460">
        <f>+[10]Seguimiento!$I$21</f>
        <v>0.46153846153846156</v>
      </c>
      <c r="J18" s="475" t="str">
        <f>+CONCATENATE("1-    ",[11]Seguimiento!$K$10,"2-   ",[11]Seguimiento!$K$11,"3-     ",[11]Seguimiento!$K$12)</f>
        <v>1-    OK2-   CON RELACION AL PRIMER CUATRIMESTRE, EL PRESENTE TUVO UN AUMENTO EN EL NUMERO DE SOLICITUDES DEL 350%, DE LAS CUALES SE RECIBIERON 4 ENTRE LA SEGUNDA Y LA TERCERA SEMANA DEL MES DE AGOSTO EL CUAL NO HA FINALIZADO..3-     OK</v>
      </c>
      <c r="K18" s="150" t="s">
        <v>140</v>
      </c>
    </row>
    <row r="19" spans="2:11" ht="80.25" customHeight="1" x14ac:dyDescent="0.3">
      <c r="B19" s="452" t="str">
        <f>+'Matriz de Riesgos'!B19</f>
        <v>R11</v>
      </c>
      <c r="C19" s="453" t="str">
        <f>'Matriz de Riesgos'!G19</f>
        <v>Posibilidad de efecto dañoso sobre bienes públicos, por bienes servicios u obra pagados, sin haberse recibido a satisfacción.</v>
      </c>
      <c r="D19" s="453" t="str">
        <f>+'Evaluación-Tratamiento'!N20</f>
        <v xml:space="preserve">*Velar por la custodia de los expedientes en el espacio establecido para tal fin.
*'Solicitar al proceso de gestión TICS el  bloqueo de las bases de datos </v>
      </c>
      <c r="E19" s="453" t="str">
        <f>'Matriz de Riesgos'!F19</f>
        <v>Omisión de actuaciones que conduzcan a certificar el recibido a satisfacción de los bienes servicios o obras sobre bienes públicos.</v>
      </c>
      <c r="F19" s="454" t="s">
        <v>429</v>
      </c>
      <c r="G19" s="460">
        <f>+[10]Seguimiento!$I$22</f>
        <v>0.61599999999999999</v>
      </c>
      <c r="H19" s="460">
        <f>+[10]Seguimiento!$I$23</f>
        <v>1</v>
      </c>
      <c r="I19" s="460">
        <f>+[10]Seguimiento!$I$24</f>
        <v>1</v>
      </c>
      <c r="J19" s="475" t="str">
        <f>+CONCATENATE("1-    ",[11]Seguimiento!$K$13,"    2-   ",[11]Seguimiento!$K$14,"3-     ",[11]Seguimiento!$K$15)</f>
        <v>1-    EN ESTE MOMENTO ESTA EN PROCESO LA RESOLUCION 32 Y 136.PARA EL    2-   A PESAR DE SOCIALIZAR LOS REQUISITOS PARA POSTULACION DE LOS DIFERENTES SUBSIDIOS, LOS CIUDADANOS (AS) RADICAN CON LA DOCUMENTACION INCOMPLETA.3-     OK</v>
      </c>
      <c r="K19" s="150" t="s">
        <v>140</v>
      </c>
    </row>
    <row r="20" spans="2:11" ht="179.25" customHeight="1" x14ac:dyDescent="0.3">
      <c r="B20" s="452" t="str">
        <f>+'Matriz de Riesgos'!B20</f>
        <v>R12</v>
      </c>
      <c r="C20" s="453" t="str">
        <f>'Matriz de Riesgos'!G20</f>
        <v xml:space="preserve">Posibilidad de Retraso e Incumplimiento en las jornadas de auditoría externa al sistema de Gestión de Calidad </v>
      </c>
      <c r="D20" s="453" t="str">
        <f>+'Evaluación-Tratamiento'!N21</f>
        <v>*crear cronograma en donde se especifiquen las fechas de seguimientos  para cada proceso. 
*Elaborar lista de chequeo en donde se pueda verificar el oportuno  cumplimiento.
*Llevar registro de las notificaciones mediante oficio y/o acta en caso de mesas de trabajo.</v>
      </c>
      <c r="E20" s="453" t="str">
        <f>'Matriz de Riesgos'!F20</f>
        <v>Desconocimiento de la periodicidad de las mediciones del sistema de gestión de calidad por parte del proceso frente a los tiempos establecidos por el organismo certificador.</v>
      </c>
      <c r="F20" s="454" t="s">
        <v>394</v>
      </c>
      <c r="G20" s="460">
        <f>+[12]Seguimiento!$I$10</f>
        <v>0.42857142857142855</v>
      </c>
      <c r="H20" s="460">
        <f>+[12]Seguimiento!$I$11</f>
        <v>0.42857142857142855</v>
      </c>
      <c r="I20" s="460">
        <f>+[12]Seguimiento!$I$12</f>
        <v>1</v>
      </c>
      <c r="J20" s="475" t="str">
        <f>+CONCATENATE("1-    ",[12]Seguimiento!$K$10,"   2-   ",[12]Seguimiento!$K$11,"   3-     ",[12]Seguimiento!$K$12)</f>
        <v>1-    Se realizan 6 mesas de trabajo con el objetrivo de identificar el estado del proceso para la preparación hacia la auditoría externa con gestión humana, recursos físicos, documental, habitabilidad, inmobiliaria y social.   2-   No se han realizado mas auditorias puesto que el cargo estaba en vacancia hasta el 1 de Agosto, se realizo la Auditoria Externa de Calidad.   3-     Se atendio la auditoria externa de recertificación ICONTEC, se realizarón mesas de trabajo con los responsables de proceso para adelantar plan de mejoramiento</v>
      </c>
      <c r="K20" s="150" t="s">
        <v>140</v>
      </c>
    </row>
    <row r="21" spans="2:11" ht="408.75" customHeight="1" x14ac:dyDescent="0.3">
      <c r="B21" s="452" t="str">
        <f>+'Matriz de Riesgos'!B21</f>
        <v>R13</v>
      </c>
      <c r="C21" s="453" t="str">
        <f>'Matriz de Riesgos'!G21</f>
        <v>Posibilidad de Incumplimiento en los terminos legales  de respuestas a las PQR´S y Derechos de Petición allegados por la comunidad (PQR sin respuesta a tiempo).</v>
      </c>
      <c r="D21" s="453" t="str">
        <f>+'Evaluación-Tratamiento'!N22</f>
        <v>Realizar seguimiento a los vencimientos de las comunicaciones en el sistema ORFEO.</v>
      </c>
      <c r="E21" s="453" t="str">
        <f>'Matriz de Riesgos'!F21</f>
        <v xml:space="preserve">incumplimiento parcial del procedimiento a seguir en los respectivos reportes al sistema ORFEO.
</v>
      </c>
      <c r="F21" s="61" t="s">
        <v>527</v>
      </c>
      <c r="G21" s="459">
        <f>+[13]Seguimiento!$I$10</f>
        <v>0.87356321839080464</v>
      </c>
      <c r="H21" s="459">
        <f>+[13]Seguimiento!$I$11</f>
        <v>0.75458392101551486</v>
      </c>
      <c r="I21" s="459">
        <f>+[13]Seguimiento!$I$12</f>
        <v>0.86595744680851061</v>
      </c>
      <c r="J21" s="475" t="str">
        <f>+CONCATENATE("1-    ",[13]Seguimiento!$K$10,"    2-   ",[13]Seguimiento!$K$11,"    3-     ",[13]Seguimiento!$K$12)</f>
        <v>1-    Durante el primer cuatrimestre de 2024, se evaluó el cumplimiento de los requisitos de oportunidad y materialidad en las respuestas del IDUVI a las peticiones (PQRSDF) presentados por ciudadanos y entidades. Las comunicaciones se recibieron mayoritariamente por los siguientes medios:
• Correo electrónico: 647 solicitudes (67.6%)
• Ventanilla: 253 solicitudes (26.4%)
• Correo certificado: 57 solicitudes (6.0%)
En total, se gestionaron 957 PQRSDF, de las cuales 403 fueron atendidas de manera oportuna, y 433 se tramitaron, aunque no requerían respuesta (NRR). Esto representa un 87.5% de las solicitudes gestionadas (836 de 957).
Las principales áreas responsables de la atención fueron:
• Asuntos Jurídicos: 191 solicitudes (19.9%)
• Subgerencia de Desarrollo y Recursos Humanos: 145 solicitudes (15.1%)
• Área de Servicios Administrativos: 127 solicitudes (13.3%)    2-   Durante el segundo cuatrimestre de 2024, se evaluó el cumplimiento de los requisitos de oportunidad y materialidad en las respuestas del (IDUVI) a las (PQRSDF) presentadas por ciudadanos y entidades. Las comunicaciones se recibieron mayoritariamente por los siguientes medios:
• Correo electrónico: 948 solicitudes (66.8%)
• Ventanilla: 402 solicitudes (28.3%)
• Correo certificado: 68 solicitudes (4.8%)
En total, se gestionaron 1,418 PQRSDF, de las cuales 512 fueron atendidas de manera oportuna, y 558 se tramitaron aunque no requerían respuesta (NRR). Esto representa un 75.5% de las solicitudes gestionadas (1,070 de 1,418).
Las principales áreas responsables de la atención fueron:
• Asuntos Jurídicos: 284 solicitudes (20.0%)
• Vivienda y Hábitat: 175 solicitudes (12.3%)
• Área de Gestión Inmobiliaria: 171 solicitudes (12.1%)
• Área de Recursos Humanos: 145 solicitudes (10.2%)    3-     Durante el tercer cuatrimestre de 2024, se evaluó el cumplimiento de los requisitos de oportunidad y materialidad en las respuestas del IDUVI a las PQRSDF (Peticiones, Quejas, Reclamos, Sugerencias y Denuncias) presentadas por ciudadanos y entidades. Las comunicaciones se recibieron mayoritariamente a través de los siguientes medios:
Correo electrónico: 935 solicitudes (66.31%)
Ventanilla: 461 solicitudes (32.70%)
Página web: 14 solicitudes (0.99%)
En total, se gestionaron 1,410 PQRSDF, de las cuales:
566 fueron atendidas de manera oportuna (40.14% del total).
665 se tramitaron aunque no requerían respuesta (NRR) (47.16% del total).
105 solicitudes fueron respondidas extemporáneamente (7.45% del total).</v>
      </c>
      <c r="K21" s="150" t="s">
        <v>140</v>
      </c>
    </row>
    <row r="22" spans="2:11" ht="78.75" x14ac:dyDescent="0.3">
      <c r="B22" s="452" t="str">
        <f>+'Matriz de Riesgos'!B22</f>
        <v>R14</v>
      </c>
      <c r="C22" s="453" t="str">
        <f>'Matriz de Riesgos'!G22</f>
        <v>Posibilidad de Incumplimiento de metas en la  ejecución de los recursos planificados durante el cuatrenio, por causa del recaudo propio el cual impide la ejecucion de los mismos, generando un incremento en la cartera de la Entidad.</v>
      </c>
      <c r="D22" s="453" t="str">
        <f>+'Evaluación-Tratamiento'!N23</f>
        <v>Retomar la sesión ordinaria de la instancia estabecida como comité Juridico Financiero e Inmobiliario de acuerdo a la periodicidad con la que se definió en la constitución del mismo.</v>
      </c>
      <c r="E22" s="453" t="str">
        <f>'Matriz de Riesgos'!F22</f>
        <v>Dsiminucion en el recaudo propio en los programas de inversion generadas por causas externas e internas</v>
      </c>
      <c r="F22" s="61" t="s">
        <v>395</v>
      </c>
      <c r="G22" s="459">
        <f>+[14]Seguimiento!$I$10</f>
        <v>0.12536261187483763</v>
      </c>
      <c r="H22" s="459">
        <f>+[14]Seguimiento!$I$11</f>
        <v>0.37530664559803739</v>
      </c>
      <c r="I22" s="459">
        <f>+[14]Seguimiento!$I$12</f>
        <v>0.62705384297634303</v>
      </c>
      <c r="J22" s="475" t="str">
        <f>+CONCATENATE("1-     ",[14]Seguimiento!$K$10,"     2-        ",[14]Seguimiento!$K$11,"      3-     ",[14]Seguimiento!$K$12)</f>
        <v>1-     Ppto ejecutado: 3.372.533.971,00 siendo el apropiado de 26.902.231.220,00     2-        Ppto ejecutado: 11.669.565.049,00 siendo el apropiado de 31.173.349.010,00      3-     Ppto ejecutado: 21.856.827.872,75 siendo el apropiado de 34.856.381.342,00</v>
      </c>
      <c r="K22" s="150" t="s">
        <v>140</v>
      </c>
    </row>
    <row r="23" spans="2:11" ht="153" customHeight="1" x14ac:dyDescent="0.3">
      <c r="B23" s="452" t="str">
        <f>+'Matriz de Riesgos'!B23</f>
        <v>R15</v>
      </c>
      <c r="C23" s="453" t="str">
        <f>'Matriz de Riesgos'!G23</f>
        <v>Posibilidad de No presentar en terminos los informes a los entes de control</v>
      </c>
      <c r="D23" s="453" t="str">
        <f>+'Evaluación-Tratamiento'!N24</f>
        <v xml:space="preserve">Seguimiento al cronograma de informes </v>
      </c>
      <c r="E23" s="453" t="str">
        <f>'Matriz de Riesgos'!F23</f>
        <v xml:space="preserve">* No presentacion oportuna de los funcionarios con respecto al avance de las acciones de mejora 
* no revsión periodica del cronograma de informes </v>
      </c>
      <c r="F23" s="454" t="s">
        <v>405</v>
      </c>
      <c r="G23" s="460">
        <f>+[15]Seguimiento!$I$10</f>
        <v>0.40206185567010311</v>
      </c>
      <c r="H23" s="460">
        <f>+[15]Seguimiento!$I$11</f>
        <v>0.68041237113402064</v>
      </c>
      <c r="I23" s="460">
        <f>+[15]Seguimiento!$I$12</f>
        <v>1</v>
      </c>
      <c r="J23" s="475" t="str">
        <f>+CONCATENATE("1-     ",[16]Seguimiento!$K$10,"    2-        ",[16]Seguimiento!$K$11,"      3-     ",[16]Seguimiento!$K$12)</f>
        <v>1-     Se reportan de acuerdo a las fechas establecidas por los entes de control, y se hace seguimiento mediante cronograma interno     2-        Se está dando cumplimiento a la presentación de informes      3-     Se dio cumplimiento a la presentación de los informes requeridos por los entes de control</v>
      </c>
      <c r="K23" s="150" t="s">
        <v>140</v>
      </c>
    </row>
    <row r="24" spans="2:11" ht="47.25" x14ac:dyDescent="0.3">
      <c r="B24" s="452" t="str">
        <f>+'Matriz de Riesgos'!B24</f>
        <v>R16</v>
      </c>
      <c r="C24" s="453" t="str">
        <f>'Matriz de Riesgos'!G24</f>
        <v>Posibilidad de Incumplimiento al cronograma de auditorias y evaluación interna a los procesos</v>
      </c>
      <c r="D24" s="453" t="str">
        <f>+'Evaluación-Tratamiento'!N25</f>
        <v>Seguimiento al cronograma de actividades , Seguimiento mediante el comité de coordinación de control interno y comité de gestión y desempeño</v>
      </c>
      <c r="E24" s="453" t="str">
        <f>'Matriz de Riesgos'!F24</f>
        <v>* Factores externos que impidan el correcto desarrollo de las actividades propuestas
*  Mala programacion de las actividades propuestas en el año</v>
      </c>
      <c r="F24" s="454" t="s">
        <v>396</v>
      </c>
      <c r="G24" s="460">
        <f>+[15]Seguimiento!$I$13</f>
        <v>0.2</v>
      </c>
      <c r="H24" s="460">
        <f>+[15]Seguimiento!$I$14</f>
        <v>0.4</v>
      </c>
      <c r="I24" s="460">
        <f>+[15]Seguimiento!$I$15</f>
        <v>0.60000000000000009</v>
      </c>
      <c r="J24" s="475" t="str">
        <f>+CONCATENATE("1-     ",[16]Seguimiento!$K$13,"    2-        ",[16]Seguimiento!$K$14,"      3-     ",[16]Seguimiento!$K$15)</f>
        <v>1-     En la vigencia se han adelantado tres (3) auditorias internas    2-        Se encuentra en proceso la auditoria a Gestión Social      3-     Quedó pendiente una auditoria de las 7 programadas para la vigencia 2024</v>
      </c>
      <c r="K24" s="150" t="s">
        <v>140</v>
      </c>
    </row>
    <row r="25" spans="2:11" ht="78.75" x14ac:dyDescent="0.3">
      <c r="B25" s="452" t="str">
        <f>+'Matriz de Riesgos'!B25</f>
        <v>R17</v>
      </c>
      <c r="C25" s="453" t="str">
        <f>'Matriz de Riesgos'!G25</f>
        <v>Posibilidad de Inobservancia e incumplimiento a los planes de mejoramiento producto de las auditorias internas y externas</v>
      </c>
      <c r="D25" s="453" t="str">
        <f>+'Evaluación-Tratamiento'!N26</f>
        <v>Seguimiento a la suscripción y reporte de avances a los planes de mejoramiento 
Informes a la Gerencia IDUVI</v>
      </c>
      <c r="E25" s="453" t="str">
        <f>'Matriz de Riesgos'!F25</f>
        <v>No se tengan en cuenta las recomendaciones hechas por control interno y los entes de control externos por parte de los procesos auditados o la gerencia de la entidad.</v>
      </c>
      <c r="F25" s="454" t="s">
        <v>397</v>
      </c>
      <c r="G25" s="460">
        <f>+[15]Seguimiento!$I$16</f>
        <v>0.2857142857142857</v>
      </c>
      <c r="H25" s="460">
        <f>+[15]Seguimiento!$I$17</f>
        <v>0.71428571428571419</v>
      </c>
      <c r="I25" s="460">
        <f>+[15]Seguimiento!$I$18</f>
        <v>0.82857142857142851</v>
      </c>
      <c r="J25" s="475" t="str">
        <f>+CONCATENATE("1-     ",[16]Seguimiento!$K$16,"    2-        ",[16]Seguimiento!$K$17,"      3-     ",[16]Seguimiento!$K$18)</f>
        <v>1-     Se cerraron 10 de los 19 hallazgos del plan de mejoramiento vig. 2022. Y por parte de la Alcaldía Municipal se suscribio Plan de mejoramiento con 2 hallazgos a cargo del IDUVI     2-        El Plan de mejoramiento vig. 2022 se cerró con el cumplimiento de 10 hallazgos toda vez que correspondia a las metas del plan de desarrollo 2020-2023      3-     Se deben tener en cuenta las recomendaciones presentadas por los entes de control y las actividades propuestas para el mejoramiento de la gestión en la entidad.</v>
      </c>
      <c r="K25" s="150" t="s">
        <v>140</v>
      </c>
    </row>
    <row r="26" spans="2:11" ht="70.5" customHeight="1" x14ac:dyDescent="0.3">
      <c r="B26" s="452" t="str">
        <f>+'Matriz de Riesgos'!B26</f>
        <v>R18</v>
      </c>
      <c r="C26" s="453" t="str">
        <f>'Matriz de Riesgos'!G26</f>
        <v>Posibilidad de Dilación o incumplimiento de terminos en relación con Derechos de Petición y/o procesos judiciales.</v>
      </c>
      <c r="D26" s="453" t="str">
        <f>+'Evaluación-Tratamiento'!N27</f>
        <v>*Asesoria previa a la comunidad, para su postulación a los programas o proyectos de la Entidad</v>
      </c>
      <c r="E26" s="453" t="str">
        <f>'Matriz de Riesgos'!F26</f>
        <v>Omisión en el cumplimiento de los términos establecidos por normativa legal, en materia de peticiones, u orden judicial.</v>
      </c>
      <c r="F26" s="471" t="s">
        <v>398</v>
      </c>
      <c r="G26" s="459">
        <f>+[17]Seguimiento!$I$10</f>
        <v>0.81818181818181823</v>
      </c>
      <c r="H26" s="459">
        <f>+[17]Seguimiento!$I$11</f>
        <v>1</v>
      </c>
      <c r="I26" s="459">
        <f>+[17]Seguimiento!$I$12</f>
        <v>1</v>
      </c>
      <c r="J26" s="475" t="str">
        <f>+CONCATENATE("1-     ",[17]Seguimiento!$K$10,"     2-        ",[17]Seguimiento!$K$11,"     3-      ",[17]Seguimiento!$K$12)</f>
        <v>1-     Se realiza la proyección de 11 procesos contractuales, de los cuales se han publicado 8 por contratación directa y 1 por invitación pública.     2-        a fecha de hoy estan en curso 16 procesos judiciales en los diferentes despachos judiciales los estados a la fecha se encuentran al dia     3-      a fecha de hoy estan en curso 14 procesos judiciales en los diferentes despachos judiciales los estados a la fecha se encuentran al dia</v>
      </c>
      <c r="K26" s="150" t="s">
        <v>140</v>
      </c>
    </row>
    <row r="27" spans="2:11" ht="127.5" customHeight="1" x14ac:dyDescent="0.3">
      <c r="B27" s="452" t="str">
        <f>+'Matriz de Riesgos'!B27</f>
        <v>R19</v>
      </c>
      <c r="C27" s="453" t="str">
        <f>'Matriz de Riesgos'!G27</f>
        <v xml:space="preserve">Posibilidad de Incumplimiento de las metas de plan de desarrollo relacionadas con la adquisición predial </v>
      </c>
      <c r="D27" s="453" t="str">
        <f>+'Evaluación-Tratamiento'!N28</f>
        <v xml:space="preserve">llevar el seguimiento de los procesos de adquisición, y tomar las acciones pertinentes cuando estos se retrasen </v>
      </c>
      <c r="E27" s="453" t="str">
        <f>'Matriz de Riesgos'!F27</f>
        <v xml:space="preserve">incumplimiento de las metas del proceso por falta de recursos 
solicitud de documentación a entidades externas 
Falta de planeación en la adquisición </v>
      </c>
      <c r="F27" s="471" t="s">
        <v>399</v>
      </c>
      <c r="G27" s="459">
        <v>0</v>
      </c>
      <c r="H27" s="459" t="e">
        <f>+[17]Seguimiento!$I$14</f>
        <v>#DIV/0!</v>
      </c>
      <c r="I27" s="459">
        <f>+[17]Seguimiento!$I$15</f>
        <v>1</v>
      </c>
      <c r="J27" s="475" t="str">
        <f>+CONCATENATE("1-     ",[17]Seguimiento!$K$13,"     2-        ",[17]Seguimiento!$K$14,"     3-      ",[17]Seguimiento!$K$15)</f>
        <v>1-     No hubo adquisición predial     2-        No hubo adquisición predial     3-      Para esta vigencia se cumple con el objetivo porpuesto de adquisicion de dos predios enominados "torca 2" y "la iItalia" cumpliendo asi con el objetivo propuesto</v>
      </c>
      <c r="K27" s="150" t="s">
        <v>140</v>
      </c>
    </row>
    <row r="28" spans="2:11" ht="114.75" customHeight="1" x14ac:dyDescent="0.3">
      <c r="B28" s="452" t="str">
        <f>+'Matriz de Riesgos'!B28</f>
        <v>R20</v>
      </c>
      <c r="C28" s="453" t="str">
        <f>'Matriz de Riesgos'!G28</f>
        <v>Posibilidad de Retraso e incumpliemiento en los reportes periódicos en materia de metas y ejecución prespuestal co respecto a lo establecido en el Plan de Desarrollo</v>
      </c>
      <c r="D28" s="453" t="str">
        <f>+'Evaluación-Tratamiento'!N29</f>
        <v xml:space="preserve">Adelantar seguimiento trimestral a  los planes de accion por procesos
Presentar resultados en el Comité de Gestión y desempeño  </v>
      </c>
      <c r="E28" s="453" t="str">
        <f>'Matriz de Riesgos'!F28</f>
        <v xml:space="preserve">Las entidades transversalmente vinculadas con la entidad  no aporten los insumos necesarios para dar cumplimiento a las metas.
Realización de actividades no determinadas en el manual de funciones que entorpecen el cumplimiento de lo ya establecido en el PDM
</v>
      </c>
      <c r="F28" s="61" t="s">
        <v>400</v>
      </c>
      <c r="G28" s="459">
        <f>+[18]Seguimiento!$I$10</f>
        <v>0.66666666666666663</v>
      </c>
      <c r="H28" s="459">
        <f>+[18]Seguimiento!$I$11</f>
        <v>0.66666666666666663</v>
      </c>
      <c r="I28" s="459">
        <f>+[18]Seguimiento!$I$12</f>
        <v>0.73333333333333328</v>
      </c>
      <c r="J28" s="475" t="str">
        <f>+CONCATENATE("1-     ",[19]Seguimiento!$K$10,"     2-        ",[19]Seguimiento!$K$11,"    3-      ",[19]Seguimiento!$K$12)</f>
        <v>1-     Durante el primer semetre del 2024 se esta realizando la elaboración del nuevo plan de desarrollo, del PDM vigente se estan realizando ejecutando las metas 154,157,159,163 y 165. En las cuales se realizan la actividades de cuidado y conservación de los predios de importancia estrategica hidrica y ambiental , la administración de los bienes fiscales, la convocatoria de subsidios de mejoramiento de vivienda y de construcción en sitio propio, entre otras.     2-        Hasta el mes de julio de 2024 se continua con la ejecucion de 5 metas. En el mes de agosto de 2024 se realiza la armonizacion del presupuesto para la vigencia 2024 por lo cual a partir de este mes se da comienzo a la proyección de documentos requeridos para  contratacion estipulada en el PDM 2024-2027 en lo concerniente al IDUVI. Pasan a ser 11 metas para su seguimiento, control y cumplimiento en el PDM actual.    3-      Se realizó seguimiento a l avance de la eejecución de las 11 metas del Plan Indicativo, logrando cumplir 6, se presentarón los resultados a la gerencia</v>
      </c>
      <c r="K28" s="150" t="s">
        <v>140</v>
      </c>
    </row>
    <row r="29" spans="2:11" ht="83.25" customHeight="1" x14ac:dyDescent="0.3">
      <c r="B29" s="452" t="str">
        <f>+'Matriz de Riesgos'!B29</f>
        <v>R21</v>
      </c>
      <c r="C29" s="453" t="str">
        <f>'Matriz de Riesgos'!G29</f>
        <v>Posibilidad de retrasos en los reportes del SECOP II conforme al calendario establecido.</v>
      </c>
      <c r="D29" s="453" t="str">
        <f>+'Evaluación-Tratamiento'!N30</f>
        <v xml:space="preserve">Realizar seguimiento a las fechas establecidas en el plan anual de adquisiciones para realizar los respectivos estudios con antelación </v>
      </c>
      <c r="E29" s="453" t="str">
        <f>'Matriz de Riesgos'!F29</f>
        <v>Falta de planeación por parte de la dependencia que requiere el bien o servicio ocasionando tardanza en el proceso.
Desconocimiento del cronograma establecido para la adjudicación del proceso.</v>
      </c>
      <c r="F29" s="471" t="s">
        <v>542</v>
      </c>
      <c r="G29" s="459">
        <f>+[20]Seguimiento!$I$10</f>
        <v>0.375</v>
      </c>
      <c r="H29" s="459">
        <f>+[20]Seguimiento!$I$11</f>
        <v>0.33333333333333331</v>
      </c>
      <c r="I29" s="459" t="e">
        <f>+[20]Seguimiento!$I$12</f>
        <v>#DIV/0!</v>
      </c>
      <c r="J29" s="475" t="str">
        <f>+CONCATENATE("1-     ",[20]Seguimiento!$K$10,"    2-     ",[20]Seguimiento!$K$11," 3-      ",[20]Seguimiento!$K$12)</f>
        <v>1-     DE LOS 16 CONTRATOS ESTABLECIDOS EN EL PAA SE CELEBRARON 6 CONTRATOS YA QUE LOS RESTANTES SE CELEBRARAN EN EL SIGUIENTE CUATRIMESTRE     2-     Se suscribio una mayor cantidad de contratos a los previstos en este periodo atendiendo a que el periodo anteriorno se habia celebrado la cantidad prevista.  3-      OK</v>
      </c>
      <c r="K29" s="150" t="s">
        <v>140</v>
      </c>
    </row>
    <row r="30" spans="2:11" ht="116.25" customHeight="1" x14ac:dyDescent="0.3">
      <c r="B30" s="452" t="str">
        <f>+'Matriz de Riesgos'!B30</f>
        <v>R22</v>
      </c>
      <c r="C30" s="453" t="str">
        <f>'Matriz de Riesgos'!G30</f>
        <v>Posibilidad de Incumplimiento del contrato por cualquiera de las partes interesadas.</v>
      </c>
      <c r="D30" s="453" t="str">
        <f>+'Evaluación-Tratamiento'!N31</f>
        <v>Evaluación periódica del contratista firmada por las partes.</v>
      </c>
      <c r="E30" s="453" t="str">
        <f>'Matriz de Riesgos'!F30</f>
        <v>omisión por parte de los supervisores y/o contratistas en el alcance de las obligaciones establecidas dentro del contrato.</v>
      </c>
      <c r="F30" s="471" t="s">
        <v>544</v>
      </c>
      <c r="G30" s="459">
        <f>+[20]Seguimiento!$I$13</f>
        <v>1</v>
      </c>
      <c r="H30" s="459">
        <f>+[20]Seguimiento!$I$14</f>
        <v>1</v>
      </c>
      <c r="I30" s="459" t="e">
        <f>+[20]Seguimiento!$I$15</f>
        <v>#DIV/0!</v>
      </c>
      <c r="J30" s="475" t="str">
        <f>+CONCATENATE("1-     ",[20]Seguimiento!$K$13,"  2-     ",[20]Seguimiento!$K$14,"   3-      ",[20]Seguimiento!$K$15)</f>
        <v>1-     Durante el cuatrimentre se suscribieron 11 contratos de los cuales ninguno a sido incumplido.  2-     Durante el cuatrimentre se suscribieron 8 contratos de los cuales ninguno a sido incumplido.   3-      OK</v>
      </c>
      <c r="K30" s="150" t="s">
        <v>140</v>
      </c>
    </row>
    <row r="31" spans="2:11" ht="78.75" x14ac:dyDescent="0.3">
      <c r="B31" s="452" t="str">
        <f>+'Matriz de Riesgos'!B31</f>
        <v>R23</v>
      </c>
      <c r="C31" s="453" t="str">
        <f>'Matriz de Riesgos'!G31</f>
        <v>Posibilidad de generar un concepto equivocado respecto a solicitud de consulta de la norma de ordenamiento territorial vigente.</v>
      </c>
      <c r="D31" s="453" t="str">
        <f>+'Evaluación-Tratamiento'!N32</f>
        <v xml:space="preserve">Relacionar las ACPM en una herramienta (Excel) que permita identificar con facilidad el tipo y el proceso al que pertenecen para hacer un seguimiento mas al detalle.
'Identificar instancias (Comités, subcomité, mesas técnicas) para solicitar el espacio para el seguimiento a los planes de acción.
'generar calendario de alertas de cumplimiento </v>
      </c>
      <c r="E31" s="453" t="str">
        <f>'Matriz de Riesgos'!F31</f>
        <v>Desconocimiento de la norma de ordenamiento territorial vigente.
Omisión de sanciones que afecten la aplicación de la norma</v>
      </c>
      <c r="F31" s="471" t="s">
        <v>555</v>
      </c>
      <c r="G31" s="459">
        <f>+[21]Seguimiento!$I$10</f>
        <v>1</v>
      </c>
      <c r="H31" s="459">
        <f>+[21]Seguimiento!$I$11</f>
        <v>1</v>
      </c>
      <c r="I31" s="459">
        <f>+[21]Seguimiento!$I$12</f>
        <v>1</v>
      </c>
      <c r="J31" s="475" t="str">
        <f>+CONCATENATE("1-     ",[21]Seguimiento!$K$10,"  2-     ",[21]Seguimiento!$K$11,"   3-      ",[21]Seguimiento!$K$12)</f>
        <v>1-     Se responde el total de los oficios requeridos dado que para el término del cuatrimestre se da la terminación de la vinculación del provisional  2-     Se responde el total de los oficios requeridos teniendo el cuenta el ingreso hasta el mes de agosto   3-      Se responde el total de los oficios requeridos teniendo el cuenta el ingreso hasta el mes de agosto</v>
      </c>
      <c r="K31" s="150" t="s">
        <v>140</v>
      </c>
    </row>
    <row r="32" spans="2:11" ht="115.5" customHeight="1" thickBot="1" x14ac:dyDescent="0.35">
      <c r="B32" s="492" t="str">
        <f>+'Matriz de Riesgos'!B32</f>
        <v>R24</v>
      </c>
      <c r="C32" s="493" t="str">
        <f>'Matriz de Riesgos'!G32</f>
        <v>Posibilidad de efecto dañoso sobre intereses patrimoniales de naturaleza pública, por cartera no cobrada por el instituto.</v>
      </c>
      <c r="D32" s="493" t="str">
        <f>+'Evaluación-Tratamiento'!N33</f>
        <v>Iniciar cobro persuasivo y coactivo conforme a las resoluciones de liquidación que se encuentren en proceso de cobro y que no haya novedad respecto al mismo.</v>
      </c>
      <c r="E32" s="493" t="str">
        <f>'Matriz de Riesgos'!F32</f>
        <v>Omisión de cobro persuasivo, coactivo o judicial que conduzcan al incumplimiento en el recaudo por parte de terceros que tienen obligaciones pendientes con el Instituto.</v>
      </c>
      <c r="F32" s="494" t="s">
        <v>558</v>
      </c>
      <c r="G32" s="506">
        <f>+[22]Seguimiento!$I$13</f>
        <v>0.24491540006204476</v>
      </c>
      <c r="H32" s="509">
        <f>+[22]Seguimiento!$I$14</f>
        <v>3.3951725188574873E-2</v>
      </c>
      <c r="I32" s="495">
        <f>+[14]Seguimiento!$I$18</f>
        <v>4.5449445971373426E-3</v>
      </c>
      <c r="J32" s="475" t="str">
        <f>+CONCATENATE("1-     ",[22]Seguimiento!$K$13,"  2-     ",[22]Seguimiento!$K$14,"   3-      ",[22]Seguimiento!$K$15)</f>
        <v>1-       2-     Recaudo realizado en el periodo   3-      OK</v>
      </c>
      <c r="K32" s="150" t="s">
        <v>140</v>
      </c>
    </row>
  </sheetData>
  <mergeCells count="3">
    <mergeCell ref="B2:C4"/>
    <mergeCell ref="J8:K8"/>
    <mergeCell ref="D2:I4"/>
  </mergeCells>
  <phoneticPr fontId="7" type="noConversion"/>
  <pageMargins left="0.7" right="0.7" top="0.75" bottom="0.75" header="0.3" footer="0.3"/>
  <pageSetup paperSize="14" scale="43"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Listas!$E$10:$E$11</xm:f>
          </x14:formula1>
          <xm:sqref>K9:K32</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32"/>
  <sheetViews>
    <sheetView tabSelected="1" zoomScale="70" zoomScaleNormal="70" workbookViewId="0">
      <selection activeCell="H8" sqref="H8"/>
    </sheetView>
  </sheetViews>
  <sheetFormatPr baseColWidth="10" defaultColWidth="11.42578125" defaultRowHeight="16.5" x14ac:dyDescent="0.3"/>
  <cols>
    <col min="1" max="1" width="11.42578125" style="43"/>
    <col min="2" max="2" width="12.7109375" style="43" customWidth="1"/>
    <col min="3" max="3" width="47.5703125" style="107" hidden="1" customWidth="1"/>
    <col min="4" max="4" width="86.5703125" style="107" hidden="1" customWidth="1"/>
    <col min="5" max="5" width="73" style="43" hidden="1" customWidth="1"/>
    <col min="6" max="6" width="47.28515625" style="43" customWidth="1"/>
    <col min="7" max="7" width="24.28515625" style="43" customWidth="1"/>
    <col min="8" max="8" width="26" style="43" customWidth="1"/>
    <col min="9" max="9" width="22.28515625" style="43" customWidth="1"/>
    <col min="10" max="10" width="104.7109375" style="43" customWidth="1"/>
    <col min="11" max="11" width="35" style="43" customWidth="1"/>
    <col min="12" max="16384" width="11.42578125" style="43"/>
  </cols>
  <sheetData>
    <row r="1" spans="2:11" ht="17.25" thickBot="1" x14ac:dyDescent="0.35"/>
    <row r="2" spans="2:11" s="50" customFormat="1" ht="30" customHeight="1" x14ac:dyDescent="0.25">
      <c r="B2" s="634"/>
      <c r="C2" s="636"/>
      <c r="D2" s="644" t="s">
        <v>511</v>
      </c>
      <c r="E2" s="644"/>
      <c r="F2" s="644"/>
      <c r="G2" s="644"/>
      <c r="H2" s="644"/>
      <c r="I2" s="644"/>
      <c r="J2" s="497" t="s">
        <v>583</v>
      </c>
      <c r="K2" s="499" t="s">
        <v>513</v>
      </c>
    </row>
    <row r="3" spans="2:11" s="50" customFormat="1" ht="30" customHeight="1" x14ac:dyDescent="0.25">
      <c r="B3" s="637"/>
      <c r="C3" s="639"/>
      <c r="D3" s="646"/>
      <c r="E3" s="646"/>
      <c r="F3" s="646"/>
      <c r="G3" s="646"/>
      <c r="H3" s="646"/>
      <c r="I3" s="646"/>
      <c r="J3" s="496" t="s">
        <v>584</v>
      </c>
      <c r="K3" s="500">
        <v>4</v>
      </c>
    </row>
    <row r="4" spans="2:11" s="50" customFormat="1" ht="30" customHeight="1" thickBot="1" x14ac:dyDescent="0.3">
      <c r="B4" s="640"/>
      <c r="C4" s="642"/>
      <c r="D4" s="648"/>
      <c r="E4" s="648"/>
      <c r="F4" s="648"/>
      <c r="G4" s="648"/>
      <c r="H4" s="648"/>
      <c r="I4" s="648"/>
      <c r="J4" s="498" t="s">
        <v>153</v>
      </c>
      <c r="K4" s="501">
        <v>44719</v>
      </c>
    </row>
    <row r="7" spans="2:11" ht="17.25" thickBot="1" x14ac:dyDescent="0.35"/>
    <row r="8" spans="2:11" s="379" customFormat="1" ht="31.5" customHeight="1" thickBot="1" x14ac:dyDescent="0.3">
      <c r="B8" s="477" t="s">
        <v>10</v>
      </c>
      <c r="C8" s="478" t="s">
        <v>95</v>
      </c>
      <c r="D8" s="478" t="s">
        <v>82</v>
      </c>
      <c r="E8" s="479" t="s">
        <v>137</v>
      </c>
      <c r="F8" s="480" t="s">
        <v>136</v>
      </c>
      <c r="G8" s="481" t="s">
        <v>462</v>
      </c>
      <c r="H8" s="482" t="s">
        <v>463</v>
      </c>
      <c r="I8" s="481" t="s">
        <v>464</v>
      </c>
      <c r="J8" s="693" t="s">
        <v>401</v>
      </c>
      <c r="K8" s="694"/>
    </row>
    <row r="9" spans="2:11" s="44" customFormat="1" ht="135.75" customHeight="1" x14ac:dyDescent="0.25">
      <c r="B9" s="450" t="str">
        <f>+'Matriz de Riesgos'!B9</f>
        <v>R1</v>
      </c>
      <c r="C9" s="451" t="str">
        <f>'Matriz de Riesgos'!G9</f>
        <v>Posibilidad de pérdida de unidades documentales</v>
      </c>
      <c r="D9" s="451" t="str">
        <f>+'Evaluación-Tratamiento'!N10</f>
        <v xml:space="preserve">Socializacion de informacion adecuada para el manejo y tratamiento de flujo de ingreso de las unidades documentales dentro de la entidad; capacitaciones de gestion documental a funcionarios y contratistas al debido proceso del  formato de control de traslado interno de unidad de documentos. </v>
      </c>
      <c r="E9" s="451" t="str">
        <f>'Matriz de Riesgos'!F9</f>
        <v>No contar con la debida disposición y salvaguarda de los documentos, lo cual hace que sean vulnerables para su manipulación y perdida 
Rotación de unidades documentales entre funcionarios de la Entidad, sin el previo aviso a Gestión Documental
Pérdida, destrucción o daño total en la documentación física a causa de evento catastrófico en el lugar de custodia del archivo.</v>
      </c>
      <c r="F9" s="54" t="s">
        <v>391</v>
      </c>
      <c r="G9" s="461">
        <v>0.73260073260073255</v>
      </c>
      <c r="H9" s="461">
        <v>0.6974358974358974</v>
      </c>
      <c r="I9" s="461">
        <v>0.95</v>
      </c>
      <c r="J9" s="502" t="s">
        <v>613</v>
      </c>
      <c r="K9" s="503" t="s">
        <v>140</v>
      </c>
    </row>
    <row r="10" spans="2:11" ht="141" customHeight="1" x14ac:dyDescent="0.3">
      <c r="B10" s="452" t="str">
        <f>+'Matriz de Riesgos'!B10</f>
        <v>R2</v>
      </c>
      <c r="C10" s="453" t="str">
        <f>'Matriz de Riesgos'!G10</f>
        <v>Posibilidad de inconsistencia en la liquidación de cesiones tipo A respecto al área o valor liquidado.</v>
      </c>
      <c r="D10" s="453" t="str">
        <f>+'Evaluación-Tratamiento'!N11</f>
        <v>Acuerdo de cooperación entre Entidades Municipales, de los procesos, procedimientos y coceptos propios de Gestión Inmobiliaria implementados para el cumplimiento de las obligaciones.
* Monitoreo, control y seguimiento trimestral de los procesos consecutivos de solicitudes en las listas de chequeo referenciado. 
* Hacer pública la información de los documentos y conceptos emitidos por Gestión Inmobiliaria al igual que la concertación previa sobre las cesiones obligatorias. 
* Realizar estudios técnicos y juridicos de predios para adquirir  como espacio público en sus diferentes destinaciones.</v>
      </c>
      <c r="E10" s="453" t="str">
        <f>'Matriz de Riesgos'!F10</f>
        <v>Desconocimiento en la norma aplicable y las respectivas aplicaciones de compensación de acuerdo a la solicitud de concertación.
Falta de soportes para validar la información de la cesiópn tipo A que requiere ser concertada y posteriormente liquidada.</v>
      </c>
      <c r="F10" s="61" t="s">
        <v>536</v>
      </c>
      <c r="G10" s="459">
        <v>2.9818334463495755</v>
      </c>
      <c r="H10" s="459">
        <v>3.3895690996414802</v>
      </c>
      <c r="I10" s="459">
        <v>0.95</v>
      </c>
      <c r="J10" s="475" t="s">
        <v>614</v>
      </c>
      <c r="K10" s="150" t="s">
        <v>140</v>
      </c>
    </row>
    <row r="11" spans="2:11" ht="161.25" customHeight="1" x14ac:dyDescent="0.3">
      <c r="B11" s="452" t="str">
        <f>+'Matriz de Riesgos'!B11</f>
        <v>R3</v>
      </c>
      <c r="C11" s="453" t="str">
        <f>'Matriz de Riesgos'!G11</f>
        <v>Posibilidad de retraso en la identificación y georeferenciación de predios del registro unico de patrimonio inmobiliario por parte del apoyo del proceso de G.I.</v>
      </c>
      <c r="D11" s="453" t="str">
        <f>+'Evaluación-Tratamiento'!N12</f>
        <v xml:space="preserve">Caracterizar y sistematizar toda la información técnica  y juridica de cada uno de los predios que conforman la Base de datos EXCEL al igual que en la georeferenciación en ARGIS  y Google Maps.  .
* Monitoreo, control y seguimiento semestral de la información con alcenace sobre los expedientes fisicos que reposan en la entidad, mediante listas de chequeo y selección de nuevos predios  mediantes actas de entrega y dotaciones. 
* Hacer pública la información de los predios que conforman el patrimonio inmobiliario con el inventario actualizado durante las vigencias. </v>
      </c>
      <c r="E11" s="453" t="str">
        <f>'Matriz de Riesgos'!F11</f>
        <v>Desinformación de predios o franjas de los elementos del espacio público municipal en m2  por uso y destinación, para la implementación de politicas, planes, programas y proyectos de la administración.
Desconocimiento de los predios que formen parte y propiedad del Municipio.</v>
      </c>
      <c r="F11" s="61" t="s">
        <v>532</v>
      </c>
      <c r="G11" s="459">
        <v>0.10211706102117062</v>
      </c>
      <c r="H11" s="459">
        <v>0.20298879202988793</v>
      </c>
      <c r="I11" s="459">
        <v>0.95</v>
      </c>
      <c r="J11" s="475" t="s">
        <v>616</v>
      </c>
      <c r="K11" s="150" t="s">
        <v>140</v>
      </c>
    </row>
    <row r="12" spans="2:11" ht="220.5" customHeight="1" x14ac:dyDescent="0.3">
      <c r="B12" s="452" t="str">
        <f>+'Matriz de Riesgos'!B12</f>
        <v>R4</v>
      </c>
      <c r="C12" s="453" t="str">
        <f>'Matriz de Riesgos'!G12</f>
        <v>Posibilidad de incumplimiento a las actividades establecidas en el Plan Estratégico de Talento Humano</v>
      </c>
      <c r="D12" s="453" t="str">
        <f>+'Evaluación-Tratamiento'!N13</f>
        <v>Socialización y divulgación de todas las actividades que se desarrollen en cumplimiento del PETH y contol de participación por parte de los funcionarios.</v>
      </c>
      <c r="E12" s="453" t="str">
        <f>'Matriz de Riesgos'!F12</f>
        <v xml:space="preserve">1. Ausencia de un Plan Estratégico del Talento humano
2.  Inadecuada Programación y socialización. 
3. Falta de compromiso y participación por parte de los funcionarios a las actividades programadas. 
4. Dificultad en la disponibilidad de recursos. </v>
      </c>
      <c r="F12" s="61" t="s">
        <v>392</v>
      </c>
      <c r="G12" s="459">
        <v>0</v>
      </c>
      <c r="H12" s="459">
        <v>0.35416666666666669</v>
      </c>
      <c r="I12" s="459">
        <v>0.85</v>
      </c>
      <c r="J12" s="475" t="s">
        <v>618</v>
      </c>
      <c r="K12" s="150" t="s">
        <v>140</v>
      </c>
    </row>
    <row r="13" spans="2:11" ht="110.25" x14ac:dyDescent="0.3">
      <c r="B13" s="452" t="str">
        <f>+'Matriz de Riesgos'!B13</f>
        <v>R5</v>
      </c>
      <c r="C13" s="453" t="str">
        <f>'Matriz de Riesgos'!G13</f>
        <v xml:space="preserve">Posibilidad de inadecuado funcionamiento de los Sistemas de información y equipos de computo </v>
      </c>
      <c r="D13" s="453" t="str">
        <f>+'Evaluación-Tratamiento'!N14</f>
        <v>Llevar a cabo los mantenimientos preventivos cada seis meses de acuerdo al cronograma establecido 
Copias de seguridad, antivirus y entre otras actividades para salvaguradar información</v>
      </c>
      <c r="E13" s="453" t="str">
        <f>'Matriz de Riesgos'!F13</f>
        <v xml:space="preserve">Falta de mantenimiento preventivo y actualización de los sistemas de información y equipos 
Desactualización de los equipos y sus componentes.
Adquisición de soluciones tecnologicas que no cumplan con las necesidades y especificaciones tecnicas requeridas </v>
      </c>
      <c r="F13" s="454" t="s">
        <v>450</v>
      </c>
      <c r="G13" s="460">
        <v>1</v>
      </c>
      <c r="H13" s="460">
        <v>1</v>
      </c>
      <c r="I13" s="460">
        <v>1</v>
      </c>
      <c r="J13" s="475" t="s">
        <v>621</v>
      </c>
      <c r="K13" s="150" t="s">
        <v>140</v>
      </c>
    </row>
    <row r="14" spans="2:11" ht="63" x14ac:dyDescent="0.3">
      <c r="B14" s="452" t="str">
        <f>+'Matriz de Riesgos'!B14</f>
        <v>R6</v>
      </c>
      <c r="C14" s="453" t="str">
        <f>'Matriz de Riesgos'!G14</f>
        <v xml:space="preserve">Posibilidad de vulneración a la reserva e integridad de los sistemas de información </v>
      </c>
      <c r="D14" s="453" t="str">
        <f>+'Evaluación-Tratamiento'!N15</f>
        <v>Realizar copias de seguridad semanalmente
salvaguardar contraseñas de los equipos y las aplicaciones</v>
      </c>
      <c r="E14" s="453" t="str">
        <f>'Matriz de Riesgos'!F14</f>
        <v>*Falta de controles de acceso 
*Falta de actualizaciones 
*Falla en los equipos de seguridad perimetral
-Errores Humanos</v>
      </c>
      <c r="F14" s="454" t="s">
        <v>548</v>
      </c>
      <c r="G14" s="460">
        <v>1</v>
      </c>
      <c r="H14" s="460">
        <v>1</v>
      </c>
      <c r="I14" s="460">
        <v>1</v>
      </c>
      <c r="J14" s="475" t="s">
        <v>622</v>
      </c>
      <c r="K14" s="150" t="s">
        <v>140</v>
      </c>
    </row>
    <row r="15" spans="2:11" ht="90.75" customHeight="1" x14ac:dyDescent="0.3">
      <c r="B15" s="452" t="str">
        <f>+'Matriz de Riesgos'!B15</f>
        <v>R7</v>
      </c>
      <c r="C15" s="453" t="str">
        <f>'Matriz de Riesgos'!G15</f>
        <v>Posibilidad de efecto dañoso sobre el inventario de bienes muebles y equipos de computo por daño o hurto.</v>
      </c>
      <c r="D15" s="453" t="str">
        <f>+'Evaluación-Tratamiento'!N16</f>
        <v xml:space="preserve">Realizar las actualizaciones del inventario cada vez que se presente la necesidad y asi mantenerlo actualizado para realizar la conciliación </v>
      </c>
      <c r="E15" s="453" t="str">
        <f>'Matriz de Riesgos'!F15</f>
        <v>Omisión en el procedimiento de ingresos y salidas del almacén conducente a que se presenten pérdidas, daños, hurtos en los bienes a cargo de los funcionarios.</v>
      </c>
      <c r="F15" s="454" t="s">
        <v>393</v>
      </c>
      <c r="G15" s="507">
        <v>1</v>
      </c>
      <c r="H15" s="507">
        <v>0</v>
      </c>
      <c r="I15" s="507">
        <v>1</v>
      </c>
      <c r="J15" s="508" t="s">
        <v>623</v>
      </c>
      <c r="K15" s="150" t="s">
        <v>140</v>
      </c>
    </row>
    <row r="16" spans="2:11" ht="289.5" customHeight="1" x14ac:dyDescent="0.3">
      <c r="B16" s="452" t="str">
        <f>+'Matriz de Riesgos'!B16</f>
        <v>R8</v>
      </c>
      <c r="C16" s="453" t="str">
        <f>'Matriz de Riesgos'!G16</f>
        <v xml:space="preserve">Posibilidad de Incumplimiento del plan de mantenimiento de los bienes fiscales a cargo de la Entidad. </v>
      </c>
      <c r="D16" s="453" t="str">
        <f>+'Evaluación-Tratamiento'!N17</f>
        <v xml:space="preserve">Hacer seguimiento a las actividades programadas en el plan de mantenimiento </v>
      </c>
      <c r="E16" s="453" t="str">
        <f>'Matriz de Riesgos'!F16</f>
        <v xml:space="preserve">No contar con el personal requerido para cubrir el mantenimiento de los predios durante el periodo
Falta de recursos 
Restricciones sanitarias que impiden dar cumplimiento al cronograma </v>
      </c>
      <c r="F16" s="454" t="s">
        <v>416</v>
      </c>
      <c r="G16" s="460">
        <v>0.3</v>
      </c>
      <c r="H16" s="460">
        <v>0.7</v>
      </c>
      <c r="I16" s="460">
        <v>1</v>
      </c>
      <c r="J16" s="475" t="s">
        <v>624</v>
      </c>
      <c r="K16" s="150" t="s">
        <v>140</v>
      </c>
    </row>
    <row r="17" spans="2:11" ht="94.5" x14ac:dyDescent="0.3">
      <c r="B17" s="452" t="str">
        <f>+'Matriz de Riesgos'!B17</f>
        <v>R9</v>
      </c>
      <c r="C17" s="453" t="str">
        <f>'Matriz de Riesgos'!G17</f>
        <v xml:space="preserve">Posibilidad de cálculo erroneo en compensación social </v>
      </c>
      <c r="D17" s="453" t="str">
        <f>+'Evaluación-Tratamiento'!N18</f>
        <v>Actualización e implementación del procedimiento de compensaciones sociales en el Sistema de Gestión de Calidad.</v>
      </c>
      <c r="E17" s="453" t="str">
        <f>'Matriz de Riesgos'!F17</f>
        <v xml:space="preserve">omision de información por parte de la población afectada. 
No disponer de los equipos tecnológicos necesarios (camara fotográfica) para tomar los registros de las visitas prediales.
ausencia de  procedimiento  documentado. 
</v>
      </c>
      <c r="F17" s="454" t="s">
        <v>556</v>
      </c>
      <c r="G17" s="460">
        <v>0</v>
      </c>
      <c r="H17" s="460">
        <v>1</v>
      </c>
      <c r="I17" s="460">
        <v>0.8</v>
      </c>
      <c r="J17" s="475" t="s">
        <v>626</v>
      </c>
      <c r="K17" s="150" t="s">
        <v>140</v>
      </c>
    </row>
    <row r="18" spans="2:11" ht="103.5" customHeight="1" x14ac:dyDescent="0.3">
      <c r="B18" s="452" t="str">
        <f>+'Matriz de Riesgos'!B18</f>
        <v>R10</v>
      </c>
      <c r="C18" s="453" t="str">
        <f>'Matriz de Riesgos'!G18</f>
        <v>Posibilidad de Demora en la elaboración de planos.</v>
      </c>
      <c r="D18" s="453" t="str">
        <f>+'Evaluación-Tratamiento'!N19</f>
        <v>Trabajar en conjunto con la Dirección de urbanismo del Municipio, para evitar la devolución de los planos.</v>
      </c>
      <c r="E18" s="453" t="str">
        <f>'Matriz de Riesgos'!F18</f>
        <v xml:space="preserve">Requerimientos adicionales que requieren ajustes indicados por parte de la Dirección de urbanismo del Municipio </v>
      </c>
      <c r="F18" s="454" t="s">
        <v>426</v>
      </c>
      <c r="G18" s="460">
        <v>0.23076923076923078</v>
      </c>
      <c r="H18" s="460">
        <v>0.38461538461538464</v>
      </c>
      <c r="I18" s="460">
        <v>0.46153846153846156</v>
      </c>
      <c r="J18" s="475" t="s">
        <v>605</v>
      </c>
      <c r="K18" s="150" t="s">
        <v>140</v>
      </c>
    </row>
    <row r="19" spans="2:11" ht="80.25" customHeight="1" x14ac:dyDescent="0.3">
      <c r="B19" s="452" t="str">
        <f>+'Matriz de Riesgos'!B19</f>
        <v>R11</v>
      </c>
      <c r="C19" s="453" t="str">
        <f>'Matriz de Riesgos'!G19</f>
        <v>Posibilidad de efecto dañoso sobre bienes públicos, por bienes servicios u obra pagados, sin haberse recibido a satisfacción.</v>
      </c>
      <c r="D19" s="453" t="str">
        <f>+'Evaluación-Tratamiento'!N20</f>
        <v xml:space="preserve">*Velar por la custodia de los expedientes en el espacio establecido para tal fin.
*'Solicitar al proceso de gestión TICS el  bloqueo de las bases de datos </v>
      </c>
      <c r="E19" s="453" t="str">
        <f>'Matriz de Riesgos'!F19</f>
        <v>Omisión de actuaciones que conduzcan a certificar el recibido a satisfacción de los bienes servicios o obras sobre bienes públicos.</v>
      </c>
      <c r="F19" s="454" t="s">
        <v>429</v>
      </c>
      <c r="G19" s="460">
        <v>0.61599999999999999</v>
      </c>
      <c r="H19" s="460">
        <v>1</v>
      </c>
      <c r="I19" s="460">
        <v>1</v>
      </c>
      <c r="J19" s="475" t="s">
        <v>627</v>
      </c>
      <c r="K19" s="150" t="s">
        <v>140</v>
      </c>
    </row>
    <row r="20" spans="2:11" ht="179.25" customHeight="1" x14ac:dyDescent="0.3">
      <c r="B20" s="452" t="str">
        <f>+'Matriz de Riesgos'!B20</f>
        <v>R12</v>
      </c>
      <c r="C20" s="453" t="str">
        <f>'Matriz de Riesgos'!G20</f>
        <v xml:space="preserve">Posibilidad de Retraso e Incumplimiento en las jornadas de auditoría externa al sistema de Gestión de Calidad </v>
      </c>
      <c r="D20" s="453" t="str">
        <f>+'Evaluación-Tratamiento'!N21</f>
        <v>*crear cronograma en donde se especifiquen las fechas de seguimientos  para cada proceso. 
*Elaborar lista de chequeo en donde se pueda verificar el oportuno  cumplimiento.
*Llevar registro de las notificaciones mediante oficio y/o acta en caso de mesas de trabajo.</v>
      </c>
      <c r="E20" s="453" t="str">
        <f>'Matriz de Riesgos'!F20</f>
        <v>Desconocimiento de la periodicidad de las mediciones del sistema de gestión de calidad por parte del proceso frente a los tiempos establecidos por el organismo certificador.</v>
      </c>
      <c r="F20" s="454" t="s">
        <v>394</v>
      </c>
      <c r="G20" s="460">
        <v>0.42857142857142855</v>
      </c>
      <c r="H20" s="460">
        <v>0.42857142857142855</v>
      </c>
      <c r="I20" s="460">
        <v>0.9</v>
      </c>
      <c r="J20" s="475" t="s">
        <v>628</v>
      </c>
      <c r="K20" s="150" t="s">
        <v>140</v>
      </c>
    </row>
    <row r="21" spans="2:11" ht="408.75" customHeight="1" x14ac:dyDescent="0.3">
      <c r="B21" s="452" t="str">
        <f>+'Matriz de Riesgos'!B21</f>
        <v>R13</v>
      </c>
      <c r="C21" s="453" t="str">
        <f>'Matriz de Riesgos'!G21</f>
        <v>Posibilidad de Incumplimiento en los terminos legales  de respuestas a las PQR´S y Derechos de Petición allegados por la comunidad (PQR sin respuesta a tiempo).</v>
      </c>
      <c r="D21" s="453" t="str">
        <f>+'Evaluación-Tratamiento'!N22</f>
        <v>Realizar seguimiento a los vencimientos de las comunicaciones en el sistema ORFEO.</v>
      </c>
      <c r="E21" s="453" t="str">
        <f>'Matriz de Riesgos'!F21</f>
        <v xml:space="preserve">incumplimiento parcial del procedimiento a seguir en los respectivos reportes al sistema ORFEO.
</v>
      </c>
      <c r="F21" s="61" t="s">
        <v>527</v>
      </c>
      <c r="G21" s="459">
        <v>0.87356321839080464</v>
      </c>
      <c r="H21" s="459">
        <v>0.75458392101551486</v>
      </c>
      <c r="I21" s="459">
        <v>1</v>
      </c>
      <c r="J21" s="475" t="s">
        <v>629</v>
      </c>
      <c r="K21" s="150" t="s">
        <v>140</v>
      </c>
    </row>
    <row r="22" spans="2:11" ht="78.75" x14ac:dyDescent="0.3">
      <c r="B22" s="452" t="str">
        <f>+'Matriz de Riesgos'!B22</f>
        <v>R14</v>
      </c>
      <c r="C22" s="453" t="str">
        <f>'Matriz de Riesgos'!G22</f>
        <v>Posibilidad de Incumplimiento de metas en la  ejecución de los recursos planificados durante el cuatrenio, por causa del recaudo propio el cual impide la ejecucion de los mismos, generando un incremento en la cartera de la Entidad.</v>
      </c>
      <c r="D22" s="453" t="str">
        <f>+'Evaluación-Tratamiento'!N23</f>
        <v>Retomar la sesión ordinaria de la instancia estabecida como comité Juridico Financiero e Inmobiliario de acuerdo a la periodicidad con la que se definió en la constitución del mismo.</v>
      </c>
      <c r="E22" s="453" t="str">
        <f>'Matriz de Riesgos'!F22</f>
        <v>Dsiminucion en el recaudo propio en los programas de inversion generadas por causas externas e internas</v>
      </c>
      <c r="F22" s="61" t="s">
        <v>395</v>
      </c>
      <c r="G22" s="459">
        <v>0.12536261187483763</v>
      </c>
      <c r="H22" s="459">
        <v>0.37530664559803739</v>
      </c>
      <c r="I22" s="459">
        <v>0.62705384297634303</v>
      </c>
      <c r="J22" s="475" t="s">
        <v>597</v>
      </c>
      <c r="K22" s="150" t="s">
        <v>140</v>
      </c>
    </row>
    <row r="23" spans="2:11" ht="153" customHeight="1" x14ac:dyDescent="0.3">
      <c r="B23" s="452" t="str">
        <f>+'Matriz de Riesgos'!B23</f>
        <v>R15</v>
      </c>
      <c r="C23" s="453" t="str">
        <f>'Matriz de Riesgos'!G23</f>
        <v>Posibilidad de No presentar en terminos los informes a los entes de control</v>
      </c>
      <c r="D23" s="453" t="str">
        <f>+'Evaluación-Tratamiento'!N24</f>
        <v xml:space="preserve">Seguimiento al cronograma de informes </v>
      </c>
      <c r="E23" s="453" t="str">
        <f>'Matriz de Riesgos'!F23</f>
        <v xml:space="preserve">* No presentacion oportuna de los funcionarios con respecto al avance de las acciones de mejora 
* no revsión periodica del cronograma de informes </v>
      </c>
      <c r="F23" s="454" t="s">
        <v>405</v>
      </c>
      <c r="G23" s="460">
        <v>0.40206185567010311</v>
      </c>
      <c r="H23" s="460">
        <v>0.68041237113402064</v>
      </c>
      <c r="I23" s="460">
        <v>1</v>
      </c>
      <c r="J23" s="475" t="s">
        <v>633</v>
      </c>
      <c r="K23" s="150" t="s">
        <v>140</v>
      </c>
    </row>
    <row r="24" spans="2:11" ht="47.25" x14ac:dyDescent="0.3">
      <c r="B24" s="452" t="str">
        <f>+'Matriz de Riesgos'!B24</f>
        <v>R16</v>
      </c>
      <c r="C24" s="453" t="str">
        <f>'Matriz de Riesgos'!G24</f>
        <v>Posibilidad de Incumplimiento al cronograma de auditorias y evaluación interna a los procesos</v>
      </c>
      <c r="D24" s="453" t="str">
        <f>+'Evaluación-Tratamiento'!N25</f>
        <v>Seguimiento al cronograma de actividades , Seguimiento mediante el comité de coordinación de control interno y comité de gestión y desempeño</v>
      </c>
      <c r="E24" s="453" t="str">
        <f>'Matriz de Riesgos'!F24</f>
        <v>* Factores externos que impidan el correcto desarrollo de las actividades propuestas
*  Mala programacion de las actividades propuestas en el año</v>
      </c>
      <c r="F24" s="454" t="s">
        <v>396</v>
      </c>
      <c r="G24" s="460">
        <v>0.2</v>
      </c>
      <c r="H24" s="460">
        <v>0.4</v>
      </c>
      <c r="I24" s="460">
        <v>0.86</v>
      </c>
      <c r="J24" s="475" t="s">
        <v>634</v>
      </c>
      <c r="K24" s="150" t="s">
        <v>140</v>
      </c>
    </row>
    <row r="25" spans="2:11" ht="78.75" x14ac:dyDescent="0.3">
      <c r="B25" s="452" t="str">
        <f>+'Matriz de Riesgos'!B25</f>
        <v>R17</v>
      </c>
      <c r="C25" s="453" t="str">
        <f>'Matriz de Riesgos'!G25</f>
        <v>Posibilidad de Inobservancia e incumplimiento a los planes de mejoramiento producto de las auditorias internas y externas</v>
      </c>
      <c r="D25" s="453" t="str">
        <f>+'Evaluación-Tratamiento'!N26</f>
        <v>Seguimiento a la suscripción y reporte de avances a los planes de mejoramiento 
Informes a la Gerencia IDUVI</v>
      </c>
      <c r="E25" s="453" t="str">
        <f>'Matriz de Riesgos'!F25</f>
        <v>No se tengan en cuenta las recomendaciones hechas por control interno y los entes de control externos por parte de los procesos auditados o la gerencia de la entidad.</v>
      </c>
      <c r="F25" s="454" t="s">
        <v>397</v>
      </c>
      <c r="G25" s="460">
        <v>0.2857142857142857</v>
      </c>
      <c r="H25" s="460">
        <v>0.71428571428571419</v>
      </c>
      <c r="I25" s="460">
        <v>0.82857142857142851</v>
      </c>
      <c r="J25" s="475" t="s">
        <v>635</v>
      </c>
      <c r="K25" s="150" t="s">
        <v>140</v>
      </c>
    </row>
    <row r="26" spans="2:11" ht="70.5" customHeight="1" x14ac:dyDescent="0.3">
      <c r="B26" s="452" t="str">
        <f>+'Matriz de Riesgos'!B26</f>
        <v>R18</v>
      </c>
      <c r="C26" s="453" t="str">
        <f>'Matriz de Riesgos'!G26</f>
        <v>Posibilidad de Dilación o incumplimiento de terminos en relación con Derechos de Petición y/o procesos judiciales.</v>
      </c>
      <c r="D26" s="453" t="str">
        <f>+'Evaluación-Tratamiento'!N27</f>
        <v>*Asesoria previa a la comunidad, para su postulación a los programas o proyectos de la Entidad</v>
      </c>
      <c r="E26" s="453" t="str">
        <f>'Matriz de Riesgos'!F26</f>
        <v>Omisión en el cumplimiento de los términos establecidos por normativa legal, en materia de peticiones, u orden judicial.</v>
      </c>
      <c r="F26" s="471" t="s">
        <v>398</v>
      </c>
      <c r="G26" s="459">
        <v>0.81818181818181823</v>
      </c>
      <c r="H26" s="459">
        <v>1</v>
      </c>
      <c r="I26" s="459">
        <v>0</v>
      </c>
      <c r="J26" s="475" t="s">
        <v>606</v>
      </c>
      <c r="K26" s="150" t="s">
        <v>140</v>
      </c>
    </row>
    <row r="27" spans="2:11" ht="127.5" customHeight="1" x14ac:dyDescent="0.3">
      <c r="B27" s="452" t="str">
        <f>+'Matriz de Riesgos'!B27</f>
        <v>R19</v>
      </c>
      <c r="C27" s="453" t="str">
        <f>'Matriz de Riesgos'!G27</f>
        <v xml:space="preserve">Posibilidad de Incumplimiento de las metas de plan de desarrollo relacionadas con la adquisición predial </v>
      </c>
      <c r="D27" s="453" t="str">
        <f>+'Evaluación-Tratamiento'!N28</f>
        <v xml:space="preserve">llevar el seguimiento de los procesos de adquisición, y tomar las acciones pertinentes cuando estos se retrasen </v>
      </c>
      <c r="E27" s="453" t="str">
        <f>'Matriz de Riesgos'!F27</f>
        <v xml:space="preserve">incumplimiento de las metas del proceso por falta de recursos 
solicitud de documentación a entidades externas 
Falta de planeación en la adquisición </v>
      </c>
      <c r="F27" s="471" t="s">
        <v>399</v>
      </c>
      <c r="G27" s="459">
        <v>0</v>
      </c>
      <c r="H27" s="459" t="e">
        <v>#DIV/0!</v>
      </c>
      <c r="I27" s="459" t="e">
        <v>#DIV/0!</v>
      </c>
      <c r="J27" s="475" t="s">
        <v>607</v>
      </c>
      <c r="K27" s="150" t="s">
        <v>140</v>
      </c>
    </row>
    <row r="28" spans="2:11" ht="114.75" customHeight="1" x14ac:dyDescent="0.3">
      <c r="B28" s="452" t="str">
        <f>+'Matriz de Riesgos'!B28</f>
        <v>R20</v>
      </c>
      <c r="C28" s="453" t="str">
        <f>'Matriz de Riesgos'!G28</f>
        <v>Posibilidad de Retraso e incumpliemiento en los reportes periódicos en materia de metas y ejecución prespuestal co respecto a lo establecido en el Plan de Desarrollo</v>
      </c>
      <c r="D28" s="453" t="str">
        <f>+'Evaluación-Tratamiento'!N29</f>
        <v xml:space="preserve">Adelantar seguimiento trimestral a  los planes de accion por procesos
Presentar resultados en el Comité de Gestión y desempeño  </v>
      </c>
      <c r="E28" s="453" t="str">
        <f>'Matriz de Riesgos'!F28</f>
        <v xml:space="preserve">Las entidades transversalmente vinculadas con la entidad  no aporten los insumos necesarios para dar cumplimiento a las metas.
Realización de actividades no determinadas en el manual de funciones que entorpecen el cumplimiento de lo ya establecido en el PDM
</v>
      </c>
      <c r="F28" s="61" t="s">
        <v>400</v>
      </c>
      <c r="G28" s="459">
        <v>0.66666666666666663</v>
      </c>
      <c r="H28" s="459">
        <v>0.66666666666666663</v>
      </c>
      <c r="I28" s="459">
        <v>0.85</v>
      </c>
      <c r="J28" s="475" t="s">
        <v>639</v>
      </c>
      <c r="K28" s="150" t="s">
        <v>140</v>
      </c>
    </row>
    <row r="29" spans="2:11" ht="83.25" customHeight="1" x14ac:dyDescent="0.3">
      <c r="B29" s="452" t="str">
        <f>+'Matriz de Riesgos'!B29</f>
        <v>R21</v>
      </c>
      <c r="C29" s="453" t="str">
        <f>'Matriz de Riesgos'!G29</f>
        <v>Posibilidad de retrasos en los reportes del SECOP II conforme al calendario establecido.</v>
      </c>
      <c r="D29" s="453" t="str">
        <f>+'Evaluación-Tratamiento'!N30</f>
        <v xml:space="preserve">Realizar seguimiento a las fechas establecidas en el plan anual de adquisiciones para realizar los respectivos estudios con antelación </v>
      </c>
      <c r="E29" s="453" t="str">
        <f>'Matriz de Riesgos'!F29</f>
        <v>Falta de planeación por parte de la dependencia que requiere el bien o servicio ocasionando tardanza en el proceso.
Desconocimiento del cronograma establecido para la adjudicación del proceso.</v>
      </c>
      <c r="F29" s="471" t="s">
        <v>542</v>
      </c>
      <c r="G29" s="459">
        <v>0.375</v>
      </c>
      <c r="H29" s="459">
        <v>0.33333333333333331</v>
      </c>
      <c r="I29" s="459" t="e">
        <v>#DIV/0!</v>
      </c>
      <c r="J29" s="475" t="s">
        <v>608</v>
      </c>
      <c r="K29" s="150" t="s">
        <v>140</v>
      </c>
    </row>
    <row r="30" spans="2:11" ht="116.25" customHeight="1" x14ac:dyDescent="0.3">
      <c r="B30" s="452" t="str">
        <f>+'Matriz de Riesgos'!B30</f>
        <v>R22</v>
      </c>
      <c r="C30" s="453" t="str">
        <f>'Matriz de Riesgos'!G30</f>
        <v>Posibilidad de Incumplimiento del contrato por cualquiera de las partes interesadas.</v>
      </c>
      <c r="D30" s="453" t="str">
        <f>+'Evaluación-Tratamiento'!N31</f>
        <v>Evaluación periódica del contratista firmada por las partes.</v>
      </c>
      <c r="E30" s="453" t="str">
        <f>'Matriz de Riesgos'!F30</f>
        <v>omisión por parte de los supervisores y/o contratistas en el alcance de las obligaciones establecidas dentro del contrato.</v>
      </c>
      <c r="F30" s="471" t="s">
        <v>544</v>
      </c>
      <c r="G30" s="459">
        <v>1</v>
      </c>
      <c r="H30" s="459">
        <v>1</v>
      </c>
      <c r="I30" s="459">
        <v>0</v>
      </c>
      <c r="J30" s="475" t="s">
        <v>609</v>
      </c>
      <c r="K30" s="150" t="s">
        <v>140</v>
      </c>
    </row>
    <row r="31" spans="2:11" ht="78.75" x14ac:dyDescent="0.3">
      <c r="B31" s="452" t="str">
        <f>+'Matriz de Riesgos'!B31</f>
        <v>R23</v>
      </c>
      <c r="C31" s="453" t="str">
        <f>'Matriz de Riesgos'!G31</f>
        <v>Posibilidad de generar un concepto equivocado respecto a solicitud de consulta de la norma de ordenamiento territorial vigente.</v>
      </c>
      <c r="D31" s="453" t="str">
        <f>+'Evaluación-Tratamiento'!N32</f>
        <v xml:space="preserve">Relacionar las ACPM en una herramienta (Excel) que permita identificar con facilidad el tipo y el proceso al que pertenecen para hacer un seguimiento mas al detalle.
'Identificar instancias (Comités, subcomité, mesas técnicas) para solicitar el espacio para el seguimiento a los planes de acción.
'generar calendario de alertas de cumplimiento </v>
      </c>
      <c r="E31" s="453" t="str">
        <f>'Matriz de Riesgos'!F31</f>
        <v>Desconocimiento de la norma de ordenamiento territorial vigente.
Omisión de sanciones que afecten la aplicación de la norma</v>
      </c>
      <c r="F31" s="471" t="s">
        <v>555</v>
      </c>
      <c r="G31" s="459">
        <v>1</v>
      </c>
      <c r="H31" s="459">
        <v>1</v>
      </c>
      <c r="I31" s="459">
        <v>1</v>
      </c>
      <c r="J31" s="475" t="s">
        <v>642</v>
      </c>
      <c r="K31" s="150" t="s">
        <v>140</v>
      </c>
    </row>
    <row r="32" spans="2:11" ht="115.5" customHeight="1" thickBot="1" x14ac:dyDescent="0.35">
      <c r="B32" s="492" t="str">
        <f>+'Matriz de Riesgos'!B32</f>
        <v>R24</v>
      </c>
      <c r="C32" s="493" t="str">
        <f>'Matriz de Riesgos'!G32</f>
        <v>Posibilidad de efecto dañoso sobre intereses patrimoniales de naturaleza pública, por cartera no cobrada por el instituto.</v>
      </c>
      <c r="D32" s="493" t="str">
        <f>+'Evaluación-Tratamiento'!N33</f>
        <v>Iniciar cobro persuasivo y coactivo conforme a las resoluciones de liquidación que se encuentren en proceso de cobro y que no haya novedad respecto al mismo.</v>
      </c>
      <c r="E32" s="493" t="str">
        <f>'Matriz de Riesgos'!F32</f>
        <v>Omisión de cobro persuasivo, coactivo o judicial que conduzcan al incumplimiento en el recaudo por parte de terceros que tienen obligaciones pendientes con el Instituto.</v>
      </c>
      <c r="F32" s="494" t="s">
        <v>558</v>
      </c>
      <c r="G32" s="506">
        <v>0.24491540006204476</v>
      </c>
      <c r="H32" s="509">
        <v>3.3951725188964589E-2</v>
      </c>
      <c r="I32" s="495">
        <v>4.5449445971373426E-3</v>
      </c>
      <c r="J32" s="475" t="s">
        <v>610</v>
      </c>
      <c r="K32" s="150" t="s">
        <v>140</v>
      </c>
    </row>
  </sheetData>
  <mergeCells count="3">
    <mergeCell ref="B2:C4"/>
    <mergeCell ref="D2:I4"/>
    <mergeCell ref="J8:K8"/>
  </mergeCell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Listas!$E$10:$E$11</xm:f>
          </x14:formula1>
          <xm:sqref>K9:K32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00B050"/>
    <pageSetUpPr fitToPage="1"/>
  </sheetPr>
  <dimension ref="B1:AI12"/>
  <sheetViews>
    <sheetView view="pageBreakPreview" topLeftCell="F4" zoomScale="70" zoomScaleNormal="55" zoomScaleSheetLayoutView="70" workbookViewId="0">
      <selection activeCell="D7" sqref="D7"/>
    </sheetView>
  </sheetViews>
  <sheetFormatPr baseColWidth="10" defaultColWidth="11.42578125" defaultRowHeight="15.75" x14ac:dyDescent="0.25"/>
  <cols>
    <col min="1" max="1" width="11.42578125" style="50"/>
    <col min="2" max="2" width="13.7109375" style="50" customWidth="1"/>
    <col min="3" max="3" width="29.5703125" style="50" customWidth="1"/>
    <col min="4" max="4" width="40.140625" style="50" customWidth="1"/>
    <col min="5" max="5" width="46.140625" style="50" customWidth="1"/>
    <col min="6" max="6" width="47" style="50" customWidth="1"/>
    <col min="7" max="7" width="47.140625" style="50" customWidth="1"/>
    <col min="8" max="8" width="35.140625" style="53" customWidth="1"/>
    <col min="9" max="9" width="12.140625" style="50" customWidth="1"/>
    <col min="10" max="10" width="20.85546875" style="50" customWidth="1"/>
    <col min="11" max="11" width="19.85546875" style="50" customWidth="1"/>
    <col min="12" max="12" width="24.28515625" style="50" customWidth="1"/>
    <col min="13" max="13" width="19.42578125" style="50" customWidth="1"/>
    <col min="14" max="14" width="28.85546875" style="50" customWidth="1"/>
    <col min="15" max="15" width="28.5703125" style="50" customWidth="1"/>
    <col min="16" max="16" width="23.28515625" style="50" customWidth="1"/>
    <col min="17" max="17" width="30.42578125" style="50" customWidth="1"/>
    <col min="18" max="18" width="40.140625" style="50" customWidth="1"/>
    <col min="19" max="19" width="20.85546875" style="50" customWidth="1"/>
    <col min="20" max="20" width="30.42578125" style="50" customWidth="1"/>
    <col min="21" max="22" width="19.85546875" style="50" customWidth="1"/>
    <col min="23" max="23" width="14.5703125" style="50" customWidth="1"/>
    <col min="24" max="24" width="21.42578125" style="50" customWidth="1"/>
    <col min="25" max="25" width="23.140625" style="50" customWidth="1"/>
    <col min="26" max="26" width="14.7109375" style="168" customWidth="1"/>
    <col min="27" max="27" width="16" style="168" customWidth="1"/>
    <col min="28" max="28" width="16.28515625" style="168" customWidth="1"/>
    <col min="29" max="29" width="15.140625" style="168" customWidth="1"/>
    <col min="30" max="30" width="11.42578125" style="50"/>
    <col min="31" max="32" width="17.140625" style="168" customWidth="1"/>
    <col min="33" max="33" width="17.140625" style="168" hidden="1" customWidth="1"/>
    <col min="34" max="34" width="22.28515625" style="51" customWidth="1"/>
    <col min="35" max="35" width="44.140625" style="168" customWidth="1"/>
    <col min="36" max="16384" width="11.42578125" style="50"/>
  </cols>
  <sheetData>
    <row r="1" spans="2:35" ht="16.5" thickBot="1" x14ac:dyDescent="0.3">
      <c r="AH1" s="168"/>
    </row>
    <row r="2" spans="2:35" ht="24" customHeight="1" x14ac:dyDescent="0.25">
      <c r="B2" s="698"/>
      <c r="C2" s="699"/>
      <c r="D2" s="695" t="s">
        <v>188</v>
      </c>
      <c r="E2" s="695"/>
      <c r="F2" s="695"/>
      <c r="G2" s="695"/>
      <c r="H2" s="695"/>
      <c r="I2" s="695"/>
      <c r="J2" s="695"/>
      <c r="K2" s="695"/>
      <c r="L2" s="144" t="s">
        <v>151</v>
      </c>
      <c r="M2" s="425" t="s">
        <v>513</v>
      </c>
      <c r="AH2" s="168"/>
    </row>
    <row r="3" spans="2:35" ht="24" customHeight="1" x14ac:dyDescent="0.25">
      <c r="B3" s="700"/>
      <c r="C3" s="701"/>
      <c r="D3" s="696"/>
      <c r="E3" s="696"/>
      <c r="F3" s="696"/>
      <c r="G3" s="696"/>
      <c r="H3" s="696"/>
      <c r="I3" s="696"/>
      <c r="J3" s="696"/>
      <c r="K3" s="696"/>
      <c r="L3" s="148" t="s">
        <v>152</v>
      </c>
      <c r="M3" s="185">
        <v>4</v>
      </c>
      <c r="AH3" s="168"/>
    </row>
    <row r="4" spans="2:35" ht="24" customHeight="1" thickBot="1" x14ac:dyDescent="0.3">
      <c r="B4" s="702"/>
      <c r="C4" s="703"/>
      <c r="D4" s="697"/>
      <c r="E4" s="697"/>
      <c r="F4" s="697"/>
      <c r="G4" s="697"/>
      <c r="H4" s="697"/>
      <c r="I4" s="697"/>
      <c r="J4" s="697"/>
      <c r="K4" s="697"/>
      <c r="L4" s="152" t="s">
        <v>153</v>
      </c>
      <c r="M4" s="458">
        <v>44719</v>
      </c>
      <c r="AH4" s="168"/>
    </row>
    <row r="5" spans="2:35" x14ac:dyDescent="0.25">
      <c r="AH5" s="168"/>
    </row>
    <row r="6" spans="2:35" x14ac:dyDescent="0.25">
      <c r="AH6" s="168"/>
    </row>
    <row r="7" spans="2:35" ht="16.5" thickBot="1" x14ac:dyDescent="0.3">
      <c r="AH7" s="168"/>
    </row>
    <row r="8" spans="2:35" s="167" customFormat="1" ht="74.25" customHeight="1" thickBot="1" x14ac:dyDescent="0.3">
      <c r="B8" s="215" t="s">
        <v>10</v>
      </c>
      <c r="C8" s="209" t="s">
        <v>49</v>
      </c>
      <c r="D8" s="210" t="s">
        <v>189</v>
      </c>
      <c r="E8" s="210" t="s">
        <v>3</v>
      </c>
      <c r="F8" s="210" t="s">
        <v>186</v>
      </c>
      <c r="G8" s="210" t="s">
        <v>187</v>
      </c>
      <c r="H8" s="210" t="s">
        <v>5</v>
      </c>
      <c r="I8" s="210" t="s">
        <v>7</v>
      </c>
      <c r="J8" s="210" t="s">
        <v>6</v>
      </c>
      <c r="K8" s="218" t="s">
        <v>208</v>
      </c>
      <c r="L8" s="218" t="s">
        <v>209</v>
      </c>
      <c r="M8" s="218" t="s">
        <v>210</v>
      </c>
      <c r="N8" s="218" t="s">
        <v>211</v>
      </c>
      <c r="O8" s="218" t="s">
        <v>212</v>
      </c>
      <c r="P8" s="218" t="s">
        <v>213</v>
      </c>
      <c r="Q8" s="218" t="s">
        <v>214</v>
      </c>
      <c r="R8" s="218" t="s">
        <v>215</v>
      </c>
      <c r="S8" s="218" t="s">
        <v>216</v>
      </c>
      <c r="T8" s="218" t="s">
        <v>217</v>
      </c>
      <c r="U8" s="218" t="s">
        <v>218</v>
      </c>
      <c r="V8" s="218" t="s">
        <v>219</v>
      </c>
      <c r="W8" s="218" t="s">
        <v>220</v>
      </c>
      <c r="X8" s="218" t="s">
        <v>221</v>
      </c>
      <c r="Y8" s="218" t="s">
        <v>222</v>
      </c>
      <c r="Z8" s="218" t="s">
        <v>223</v>
      </c>
      <c r="AA8" s="218" t="s">
        <v>224</v>
      </c>
      <c r="AB8" s="218" t="s">
        <v>225</v>
      </c>
      <c r="AC8" s="218" t="s">
        <v>226</v>
      </c>
      <c r="AD8" s="219" t="s">
        <v>233</v>
      </c>
      <c r="AE8" s="220" t="s">
        <v>228</v>
      </c>
      <c r="AF8" s="219" t="s">
        <v>227</v>
      </c>
      <c r="AG8" s="219" t="s">
        <v>56</v>
      </c>
      <c r="AH8" s="219" t="s">
        <v>9</v>
      </c>
      <c r="AI8" s="221" t="s">
        <v>229</v>
      </c>
    </row>
    <row r="9" spans="2:35" ht="94.5" x14ac:dyDescent="0.25">
      <c r="B9" s="216" t="s">
        <v>505</v>
      </c>
      <c r="C9" s="357" t="s">
        <v>20</v>
      </c>
      <c r="D9" s="366" t="s">
        <v>474</v>
      </c>
      <c r="E9" s="366" t="s">
        <v>438</v>
      </c>
      <c r="F9" s="366" t="s">
        <v>439</v>
      </c>
      <c r="G9" s="366" t="s">
        <v>440</v>
      </c>
      <c r="H9" s="54" t="s">
        <v>198</v>
      </c>
      <c r="I9" s="54" t="str">
        <f>IF(J9="Rara vez","20%",IF(J9="Improbable","40%",IF(J9="Posible","60%",IF(J9="Probable","80%",IF(J9="Casi seguro","100%","")))))</f>
        <v>20%</v>
      </c>
      <c r="J9" s="54" t="str">
        <f>+IF(H9=Tablas!$E$36,"Rara vez",IF(H9=Tablas!$E$37,"Improbable",IF(H9=Tablas!$E$38,"Posible",IF(H9=Tablas!$E$39,"Probable",IF(H9=Tablas!$E$40,"Casi seguro","")))))</f>
        <v>Rara vez</v>
      </c>
      <c r="K9" s="57" t="s">
        <v>231</v>
      </c>
      <c r="L9" s="57" t="s">
        <v>231</v>
      </c>
      <c r="M9" s="57" t="s">
        <v>231</v>
      </c>
      <c r="N9" s="57" t="s">
        <v>232</v>
      </c>
      <c r="O9" s="57" t="s">
        <v>231</v>
      </c>
      <c r="P9" s="57" t="s">
        <v>231</v>
      </c>
      <c r="Q9" s="57" t="s">
        <v>231</v>
      </c>
      <c r="R9" s="57" t="s">
        <v>231</v>
      </c>
      <c r="S9" s="57" t="s">
        <v>231</v>
      </c>
      <c r="T9" s="57" t="s">
        <v>231</v>
      </c>
      <c r="U9" s="57" t="s">
        <v>231</v>
      </c>
      <c r="V9" s="57" t="s">
        <v>231</v>
      </c>
      <c r="W9" s="57" t="s">
        <v>231</v>
      </c>
      <c r="X9" s="57" t="s">
        <v>231</v>
      </c>
      <c r="Y9" s="57" t="s">
        <v>232</v>
      </c>
      <c r="Z9" s="57" t="s">
        <v>232</v>
      </c>
      <c r="AA9" s="57" t="s">
        <v>232</v>
      </c>
      <c r="AB9" s="57" t="s">
        <v>231</v>
      </c>
      <c r="AC9" s="57" t="s">
        <v>231</v>
      </c>
      <c r="AD9" s="57">
        <f>COUNTIFS(K9:AC9,"=SI")</f>
        <v>15</v>
      </c>
      <c r="AE9" s="57" t="str">
        <f>IF(AD9=0," ",IF(AD9&lt;=5,"Moderado",IF('Riesgos de Corrupción'!AD9&lt;=11,"Mayor",IF('Riesgos de Corrupción'!AD9&lt;=19,"Catastrófico",""))))</f>
        <v>Catastrófico</v>
      </c>
      <c r="AF9" s="55">
        <f>VLOOKUP(AE9,Tablas!$J$36:$L$38,2,FALSE)</f>
        <v>1</v>
      </c>
      <c r="AG9" s="55" t="str">
        <f>CONCATENATE(J9,AE9)</f>
        <v>Rara vezCatastrófico</v>
      </c>
      <c r="AH9" s="57" t="str">
        <f>VLOOKUP(AG9,Tablas!$D$132:$G$1596,4,FALSE)</f>
        <v>Extremo</v>
      </c>
      <c r="AI9" s="400" t="s">
        <v>402</v>
      </c>
    </row>
    <row r="10" spans="2:35" ht="60" customHeight="1" x14ac:dyDescent="0.25">
      <c r="B10" s="217" t="s">
        <v>506</v>
      </c>
      <c r="C10" s="358" t="s">
        <v>169</v>
      </c>
      <c r="D10" s="367" t="s">
        <v>475</v>
      </c>
      <c r="E10" s="367" t="s">
        <v>417</v>
      </c>
      <c r="F10" s="367" t="s">
        <v>343</v>
      </c>
      <c r="G10" s="367" t="s">
        <v>342</v>
      </c>
      <c r="H10" s="61" t="s">
        <v>202</v>
      </c>
      <c r="I10" s="61" t="str">
        <f t="shared" ref="I10" si="0">IF(J10="Rara vez","20%",IF(J10="Improbable","40%",IF(J10="Posible","60%",IF(J10="Probable","80%",IF(J10="Casi seguro","100%","")))))</f>
        <v>80%</v>
      </c>
      <c r="J10" s="61" t="str">
        <f>+IF(H10=Tablas!$E$36,"Rara vez",IF(H10=Tablas!$E$37,"Improbable",IF(H10=Tablas!$E$38,"Posible",IF(H10=Tablas!$E$39,"Probable",IF(H10=Tablas!$E$40,"Casi seguro","")))))</f>
        <v>Probable</v>
      </c>
      <c r="K10" s="64" t="s">
        <v>231</v>
      </c>
      <c r="L10" s="64" t="s">
        <v>231</v>
      </c>
      <c r="M10" s="64" t="s">
        <v>231</v>
      </c>
      <c r="N10" s="64" t="s">
        <v>232</v>
      </c>
      <c r="O10" s="64" t="s">
        <v>232</v>
      </c>
      <c r="P10" s="64" t="s">
        <v>231</v>
      </c>
      <c r="Q10" s="64" t="s">
        <v>231</v>
      </c>
      <c r="R10" s="64" t="s">
        <v>232</v>
      </c>
      <c r="S10" s="64" t="s">
        <v>231</v>
      </c>
      <c r="T10" s="64" t="s">
        <v>231</v>
      </c>
      <c r="U10" s="64" t="s">
        <v>231</v>
      </c>
      <c r="V10" s="64" t="s">
        <v>231</v>
      </c>
      <c r="W10" s="64" t="s">
        <v>231</v>
      </c>
      <c r="X10" s="64" t="s">
        <v>232</v>
      </c>
      <c r="Y10" s="64" t="s">
        <v>232</v>
      </c>
      <c r="Z10" s="64" t="s">
        <v>232</v>
      </c>
      <c r="AA10" s="64" t="s">
        <v>232</v>
      </c>
      <c r="AB10" s="64" t="s">
        <v>232</v>
      </c>
      <c r="AC10" s="64" t="s">
        <v>231</v>
      </c>
      <c r="AD10" s="64">
        <f t="shared" ref="AD10" si="1">COUNTIFS(K10:AC10,"=SI")</f>
        <v>11</v>
      </c>
      <c r="AE10" s="64" t="str">
        <f>IF(AD10=0," ",IF(AD10&lt;=5,"Moderado",IF('Riesgos de Corrupción'!AD10&lt;=11,"Mayor",IF('Riesgos de Corrupción'!AD10&lt;=19,"Catastrófico",""))))</f>
        <v>Mayor</v>
      </c>
      <c r="AF10" s="63">
        <f>VLOOKUP(AE10,Tablas!$J$36:$L$38,2,FALSE)</f>
        <v>0.8</v>
      </c>
      <c r="AG10" s="63" t="str">
        <f t="shared" ref="AG10" si="2">CONCATENATE(J10,AE10)</f>
        <v>ProbableMayor</v>
      </c>
      <c r="AH10" s="64" t="str">
        <f>VLOOKUP(AG10,Tablas!$D$132:$G$1596,4,FALSE)</f>
        <v>Extremo</v>
      </c>
      <c r="AI10" s="406" t="s">
        <v>418</v>
      </c>
    </row>
    <row r="11" spans="2:35" s="409" customFormat="1" ht="123.75" customHeight="1" x14ac:dyDescent="0.25">
      <c r="B11" s="217" t="s">
        <v>507</v>
      </c>
      <c r="C11" s="358" t="s">
        <v>24</v>
      </c>
      <c r="D11" s="367" t="s">
        <v>490</v>
      </c>
      <c r="E11" s="367" t="s">
        <v>493</v>
      </c>
      <c r="F11" s="367" t="s">
        <v>492</v>
      </c>
      <c r="G11" s="367" t="s">
        <v>491</v>
      </c>
      <c r="H11" s="61" t="s">
        <v>198</v>
      </c>
      <c r="I11" s="61" t="str">
        <f t="shared" ref="I11:I12" si="3">IF(J11="Rara vez","20%",IF(J11="Improbable","40%",IF(J11="Posible","60%",IF(J11="Probable","80%",IF(J11="Casi seguro","100%","")))))</f>
        <v>20%</v>
      </c>
      <c r="J11" s="61" t="str">
        <f>+IF(H11=Tablas!$E$36,"Rara vez",IF(H11=Tablas!$E$37,"Improbable",IF(H11=Tablas!$E$38,"Posible",IF(H11=Tablas!$E$39,"Probable",IF(H11=Tablas!$E$40,"Casi seguro","")))))</f>
        <v>Rara vez</v>
      </c>
      <c r="K11" s="62" t="s">
        <v>231</v>
      </c>
      <c r="L11" s="62" t="s">
        <v>231</v>
      </c>
      <c r="M11" s="62" t="s">
        <v>231</v>
      </c>
      <c r="N11" s="62" t="s">
        <v>232</v>
      </c>
      <c r="O11" s="62" t="s">
        <v>231</v>
      </c>
      <c r="P11" s="62" t="s">
        <v>231</v>
      </c>
      <c r="Q11" s="62" t="s">
        <v>231</v>
      </c>
      <c r="R11" s="62" t="s">
        <v>231</v>
      </c>
      <c r="S11" s="62" t="s">
        <v>232</v>
      </c>
      <c r="T11" s="62" t="s">
        <v>231</v>
      </c>
      <c r="U11" s="62" t="s">
        <v>231</v>
      </c>
      <c r="V11" s="62" t="s">
        <v>231</v>
      </c>
      <c r="W11" s="62" t="s">
        <v>231</v>
      </c>
      <c r="X11" s="62" t="s">
        <v>231</v>
      </c>
      <c r="Y11" s="62" t="s">
        <v>232</v>
      </c>
      <c r="Z11" s="62" t="s">
        <v>232</v>
      </c>
      <c r="AA11" s="62" t="s">
        <v>232</v>
      </c>
      <c r="AB11" s="62" t="s">
        <v>231</v>
      </c>
      <c r="AC11" s="62" t="s">
        <v>231</v>
      </c>
      <c r="AD11" s="62">
        <f t="shared" ref="AD11:AD12" si="4">COUNTIFS(K11:AC11,"=SI")</f>
        <v>14</v>
      </c>
      <c r="AE11" s="62" t="str">
        <f>IF(AD11=0," ",IF(AD11&lt;=5,"Moderado",IF('Riesgos de Corrupción'!AD11&lt;=11,"Mayor",IF('Riesgos de Corrupción'!AD11&lt;=19,"Catastrófico",""))))</f>
        <v>Catastrófico</v>
      </c>
      <c r="AF11" s="410">
        <f>VLOOKUP(AE11,Tablas!$J$36:$L$38,2,FALSE)</f>
        <v>1</v>
      </c>
      <c r="AG11" s="410" t="str">
        <f t="shared" ref="AG11:AG12" si="5">CONCATENATE(J11,AE11)</f>
        <v>Rara vezCatastrófico</v>
      </c>
      <c r="AH11" s="62" t="str">
        <f>VLOOKUP(AG11,Tablas!$D$132:$G$1596,4,FALSE)</f>
        <v>Extremo</v>
      </c>
      <c r="AI11" s="411" t="s">
        <v>494</v>
      </c>
    </row>
    <row r="12" spans="2:35" ht="60" customHeight="1" x14ac:dyDescent="0.25">
      <c r="B12" s="217" t="s">
        <v>508</v>
      </c>
      <c r="C12" s="358" t="s">
        <v>16</v>
      </c>
      <c r="D12" s="367" t="s">
        <v>476</v>
      </c>
      <c r="E12" s="367" t="s">
        <v>519</v>
      </c>
      <c r="F12" s="367" t="s">
        <v>347</v>
      </c>
      <c r="G12" s="367" t="s">
        <v>346</v>
      </c>
      <c r="H12" s="61" t="s">
        <v>198</v>
      </c>
      <c r="I12" s="61" t="str">
        <f t="shared" si="3"/>
        <v>20%</v>
      </c>
      <c r="J12" s="61" t="str">
        <f>+IF(H12=Tablas!$E$36,"Rara vez",IF(H12=Tablas!$E$37,"Improbable",IF(H12=Tablas!$E$38,"Posible",IF(H12=Tablas!$E$39,"Probable",IF(H12=Tablas!$E$40,"Casi seguro","")))))</f>
        <v>Rara vez</v>
      </c>
      <c r="K12" s="64" t="s">
        <v>231</v>
      </c>
      <c r="L12" s="64" t="s">
        <v>231</v>
      </c>
      <c r="M12" s="64" t="s">
        <v>231</v>
      </c>
      <c r="N12" s="64" t="s">
        <v>232</v>
      </c>
      <c r="O12" s="64" t="s">
        <v>231</v>
      </c>
      <c r="P12" s="64" t="s">
        <v>232</v>
      </c>
      <c r="Q12" s="64" t="s">
        <v>231</v>
      </c>
      <c r="R12" s="64" t="s">
        <v>231</v>
      </c>
      <c r="S12" s="64" t="s">
        <v>232</v>
      </c>
      <c r="T12" s="64" t="s">
        <v>231</v>
      </c>
      <c r="U12" s="64" t="s">
        <v>231</v>
      </c>
      <c r="V12" s="64" t="s">
        <v>231</v>
      </c>
      <c r="W12" s="64" t="s">
        <v>231</v>
      </c>
      <c r="X12" s="64" t="s">
        <v>231</v>
      </c>
      <c r="Y12" s="64" t="s">
        <v>232</v>
      </c>
      <c r="Z12" s="64" t="s">
        <v>232</v>
      </c>
      <c r="AA12" s="64" t="s">
        <v>232</v>
      </c>
      <c r="AB12" s="64" t="s">
        <v>232</v>
      </c>
      <c r="AC12" s="64" t="s">
        <v>231</v>
      </c>
      <c r="AD12" s="64">
        <f t="shared" si="4"/>
        <v>12</v>
      </c>
      <c r="AE12" s="64" t="str">
        <f>IF(AD12=0," ",IF(AD12&lt;=5,"Moderado",IF('Riesgos de Corrupción'!AD12&lt;=11,"Mayor",IF('Riesgos de Corrupción'!AD12&lt;=19,"Catastrófico",""))))</f>
        <v>Catastrófico</v>
      </c>
      <c r="AF12" s="63">
        <f>VLOOKUP(AE12,Tablas!$J$36:$L$38,2,FALSE)</f>
        <v>1</v>
      </c>
      <c r="AG12" s="63" t="str">
        <f t="shared" si="5"/>
        <v>Rara vezCatastrófico</v>
      </c>
      <c r="AH12" s="64" t="str">
        <f>VLOOKUP(AG12,Tablas!$D$132:$G$1596,4,FALSE)</f>
        <v>Extremo</v>
      </c>
      <c r="AI12" s="406" t="s">
        <v>473</v>
      </c>
    </row>
  </sheetData>
  <mergeCells count="2">
    <mergeCell ref="D2:K4"/>
    <mergeCell ref="B2:C4"/>
  </mergeCells>
  <phoneticPr fontId="7" type="noConversion"/>
  <conditionalFormatting sqref="J9:J12">
    <cfRule type="cellIs" dxfId="22" priority="1" operator="equal">
      <formula>"Rara vez"</formula>
    </cfRule>
    <cfRule type="cellIs" dxfId="21" priority="28" operator="equal">
      <formula>"Casi seguro"</formula>
    </cfRule>
    <cfRule type="cellIs" dxfId="20" priority="29" operator="equal">
      <formula>"Probable"</formula>
    </cfRule>
    <cfRule type="cellIs" dxfId="19" priority="30" operator="equal">
      <formula>"Improbable"</formula>
    </cfRule>
    <cfRule type="cellIs" dxfId="18" priority="32" operator="equal">
      <formula>"Posible"</formula>
    </cfRule>
  </conditionalFormatting>
  <conditionalFormatting sqref="AE9:AE12">
    <cfRule type="cellIs" dxfId="17" priority="5" operator="equal">
      <formula>"Mayor"</formula>
    </cfRule>
    <cfRule type="cellIs" dxfId="16" priority="6" operator="equal">
      <formula>"Moderado"</formula>
    </cfRule>
    <cfRule type="cellIs" dxfId="15" priority="7" operator="equal">
      <formula>"Catastrófico"</formula>
    </cfRule>
  </conditionalFormatting>
  <conditionalFormatting sqref="AH9:AH12">
    <cfRule type="cellIs" dxfId="14" priority="2" operator="equal">
      <formula>"Alto"</formula>
    </cfRule>
    <cfRule type="cellIs" dxfId="13" priority="3" operator="equal">
      <formula>"Moderado"</formula>
    </cfRule>
    <cfRule type="cellIs" dxfId="12" priority="4" operator="equal">
      <formula>"Extremo"</formula>
    </cfRule>
  </conditionalFormatting>
  <pageMargins left="0.23622047244094491" right="0.23622047244094491" top="0.74803149606299213" bottom="0.74803149606299213" header="0.31496062992125984" footer="0.31496062992125984"/>
  <pageSetup paperSize="3" scale="25" orientation="landscape" r:id="rId1"/>
  <drawing r:id="rId2"/>
  <extLst>
    <ext xmlns:x14="http://schemas.microsoft.com/office/spreadsheetml/2009/9/main" uri="{CCE6A557-97BC-4b89-ADB6-D9C93CAAB3DF}">
      <x14:dataValidations xmlns:xm="http://schemas.microsoft.com/office/excel/2006/main" xWindow="721" yWindow="404" count="3">
        <x14:dataValidation type="list" allowBlank="1" showInputMessage="1" showErrorMessage="1">
          <x14:formula1>
            <xm:f>Tablas!$E$36:$E$40</xm:f>
          </x14:formula1>
          <xm:sqref>H9:H12</xm:sqref>
        </x14:dataValidation>
        <x14:dataValidation type="list" allowBlank="1" showInputMessage="1" showErrorMessage="1">
          <x14:formula1>
            <xm:f>Listas!$G$3:$G$4</xm:f>
          </x14:formula1>
          <xm:sqref>K9:AC12</xm:sqref>
        </x14:dataValidation>
        <x14:dataValidation type="list" allowBlank="1" showInputMessage="1" showErrorMessage="1">
          <x14:formula1>
            <xm:f>Listas!$C$3:$C$17</xm:f>
          </x14:formula1>
          <xm:sqref>C9:C12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R12"/>
  <sheetViews>
    <sheetView view="pageBreakPreview" zoomScale="70" zoomScaleNormal="70" zoomScaleSheetLayoutView="70" workbookViewId="0">
      <selection activeCell="C7" sqref="C7"/>
    </sheetView>
  </sheetViews>
  <sheetFormatPr baseColWidth="10" defaultColWidth="11.42578125" defaultRowHeight="15.75" x14ac:dyDescent="0.25"/>
  <cols>
    <col min="1" max="1" width="11.42578125" style="2"/>
    <col min="2" max="2" width="11.42578125" style="231" customWidth="1"/>
    <col min="3" max="3" width="40.42578125" style="2" customWidth="1"/>
    <col min="4" max="4" width="22.5703125" style="53" customWidth="1"/>
    <col min="5" max="5" width="5.7109375" style="2" customWidth="1"/>
    <col min="6" max="6" width="29" style="2" customWidth="1"/>
    <col min="7" max="7" width="35" style="2" customWidth="1"/>
    <col min="8" max="8" width="34" style="2" customWidth="1"/>
    <col min="9" max="9" width="32" style="2" customWidth="1"/>
    <col min="10" max="10" width="29.5703125" style="2" customWidth="1"/>
    <col min="11" max="11" width="32.7109375" style="2" customWidth="1"/>
    <col min="12" max="12" width="35.7109375" style="2" customWidth="1"/>
    <col min="13" max="15" width="15.7109375" style="1" customWidth="1"/>
    <col min="16" max="16" width="20.42578125" style="1" customWidth="1"/>
    <col min="17" max="17" width="15.7109375" style="1" customWidth="1"/>
    <col min="18" max="18" width="15.7109375" style="1" hidden="1" customWidth="1"/>
    <col min="19" max="19" width="23.28515625" style="1" customWidth="1"/>
    <col min="20" max="20" width="21.28515625" style="1" customWidth="1"/>
    <col min="21" max="23" width="15.7109375" style="2" hidden="1" customWidth="1"/>
    <col min="24" max="43" width="11.42578125" style="2"/>
    <col min="44" max="45" width="15.7109375" style="2" customWidth="1"/>
    <col min="46" max="16384" width="11.42578125" style="2"/>
  </cols>
  <sheetData>
    <row r="1" spans="2:44" s="50" customFormat="1" ht="16.5" thickBot="1" x14ac:dyDescent="0.3">
      <c r="B1" s="225"/>
      <c r="D1" s="53"/>
      <c r="G1" s="53"/>
      <c r="M1" s="51"/>
      <c r="N1" s="51"/>
      <c r="O1" s="51"/>
      <c r="P1" s="51"/>
      <c r="Q1" s="51"/>
      <c r="R1" s="51"/>
      <c r="S1" s="51"/>
      <c r="T1" s="51"/>
      <c r="U1" s="168"/>
      <c r="V1" s="168"/>
      <c r="W1" s="168"/>
    </row>
    <row r="2" spans="2:44" s="50" customFormat="1" ht="24" customHeight="1" x14ac:dyDescent="0.25">
      <c r="B2" s="212"/>
      <c r="C2" s="206"/>
      <c r="D2" s="704" t="s">
        <v>188</v>
      </c>
      <c r="E2" s="695"/>
      <c r="F2" s="695"/>
      <c r="G2" s="695"/>
      <c r="H2" s="695"/>
      <c r="I2" s="695"/>
      <c r="J2" s="695"/>
      <c r="K2" s="695"/>
      <c r="L2" s="695"/>
      <c r="M2" s="695"/>
      <c r="N2" s="695"/>
      <c r="O2" s="695"/>
      <c r="P2" s="695"/>
      <c r="Q2" s="705"/>
      <c r="R2" s="51"/>
      <c r="S2" s="144" t="s">
        <v>151</v>
      </c>
      <c r="T2" s="425" t="s">
        <v>513</v>
      </c>
      <c r="U2" s="168"/>
      <c r="V2" s="168"/>
      <c r="W2" s="168"/>
    </row>
    <row r="3" spans="2:44" s="50" customFormat="1" ht="24" customHeight="1" x14ac:dyDescent="0.25">
      <c r="B3" s="213"/>
      <c r="C3" s="207"/>
      <c r="D3" s="706"/>
      <c r="E3" s="696"/>
      <c r="F3" s="696"/>
      <c r="G3" s="696"/>
      <c r="H3" s="696"/>
      <c r="I3" s="696"/>
      <c r="J3" s="696"/>
      <c r="K3" s="696"/>
      <c r="L3" s="696"/>
      <c r="M3" s="696"/>
      <c r="N3" s="696"/>
      <c r="O3" s="696"/>
      <c r="P3" s="696"/>
      <c r="Q3" s="707"/>
      <c r="R3" s="51"/>
      <c r="S3" s="148" t="s">
        <v>152</v>
      </c>
      <c r="T3" s="185">
        <v>4</v>
      </c>
      <c r="U3" s="168"/>
      <c r="V3" s="168"/>
      <c r="W3" s="168"/>
    </row>
    <row r="4" spans="2:44" s="50" customFormat="1" ht="24" customHeight="1" thickBot="1" x14ac:dyDescent="0.3">
      <c r="B4" s="214"/>
      <c r="C4" s="208"/>
      <c r="D4" s="708"/>
      <c r="E4" s="697"/>
      <c r="F4" s="697"/>
      <c r="G4" s="697"/>
      <c r="H4" s="697"/>
      <c r="I4" s="697"/>
      <c r="J4" s="697"/>
      <c r="K4" s="697"/>
      <c r="L4" s="697"/>
      <c r="M4" s="697"/>
      <c r="N4" s="697"/>
      <c r="O4" s="697"/>
      <c r="P4" s="697"/>
      <c r="Q4" s="709"/>
      <c r="R4" s="51"/>
      <c r="S4" s="152" t="s">
        <v>153</v>
      </c>
      <c r="T4" s="458">
        <v>44719</v>
      </c>
      <c r="U4" s="168"/>
      <c r="V4" s="168"/>
      <c r="W4" s="168"/>
    </row>
    <row r="5" spans="2:44" s="50" customFormat="1" x14ac:dyDescent="0.25">
      <c r="B5" s="225"/>
      <c r="D5" s="171"/>
      <c r="G5" s="53"/>
      <c r="M5" s="51"/>
      <c r="N5" s="51"/>
      <c r="O5" s="51"/>
      <c r="P5" s="51"/>
      <c r="Q5" s="51"/>
      <c r="R5" s="51"/>
      <c r="S5" s="51"/>
      <c r="T5" s="51"/>
      <c r="U5" s="168"/>
      <c r="V5" s="168"/>
      <c r="W5" s="168"/>
    </row>
    <row r="6" spans="2:44" s="50" customFormat="1" x14ac:dyDescent="0.25">
      <c r="B6" s="225"/>
      <c r="D6" s="53"/>
      <c r="G6" s="53"/>
      <c r="M6" s="51"/>
      <c r="N6" s="51"/>
      <c r="O6" s="51"/>
      <c r="P6" s="51"/>
      <c r="Q6" s="51"/>
      <c r="R6" s="51"/>
      <c r="S6" s="51"/>
      <c r="T6" s="51"/>
      <c r="U6" s="168"/>
      <c r="V6" s="168"/>
      <c r="W6" s="168"/>
    </row>
    <row r="7" spans="2:44" s="50" customFormat="1" ht="16.5" thickBot="1" x14ac:dyDescent="0.3">
      <c r="B7" s="225"/>
      <c r="G7" s="53"/>
      <c r="M7" s="51"/>
      <c r="N7" s="51"/>
      <c r="O7" s="51"/>
      <c r="P7" s="51"/>
      <c r="Q7" s="51"/>
      <c r="R7" s="51"/>
      <c r="S7" s="51"/>
      <c r="T7" s="51"/>
      <c r="U7" s="168"/>
      <c r="V7" s="168"/>
      <c r="W7" s="168"/>
    </row>
    <row r="8" spans="2:44" ht="81.75" customHeight="1" thickBot="1" x14ac:dyDescent="0.3">
      <c r="B8" s="249" t="s">
        <v>234</v>
      </c>
      <c r="C8" s="250" t="s">
        <v>235</v>
      </c>
      <c r="D8" s="249" t="s">
        <v>313</v>
      </c>
      <c r="E8" s="249" t="s">
        <v>314</v>
      </c>
      <c r="F8" s="249" t="s">
        <v>236</v>
      </c>
      <c r="G8" s="251" t="s">
        <v>237</v>
      </c>
      <c r="H8" s="249" t="s">
        <v>301</v>
      </c>
      <c r="I8" s="249" t="s">
        <v>302</v>
      </c>
      <c r="J8" s="249" t="s">
        <v>238</v>
      </c>
      <c r="K8" s="249" t="s">
        <v>310</v>
      </c>
      <c r="L8" s="249" t="s">
        <v>239</v>
      </c>
      <c r="M8" s="249" t="s">
        <v>240</v>
      </c>
      <c r="N8" s="249" t="s">
        <v>241</v>
      </c>
      <c r="O8" s="249" t="s">
        <v>242</v>
      </c>
      <c r="P8" s="249" t="s">
        <v>243</v>
      </c>
      <c r="Q8" s="249" t="s">
        <v>244</v>
      </c>
      <c r="R8" s="249" t="s">
        <v>56</v>
      </c>
      <c r="S8" s="249" t="s">
        <v>245</v>
      </c>
      <c r="T8" s="249" t="s">
        <v>246</v>
      </c>
      <c r="U8" s="252" t="s">
        <v>247</v>
      </c>
      <c r="V8" s="252" t="s">
        <v>248</v>
      </c>
      <c r="W8" s="252" t="s">
        <v>249</v>
      </c>
      <c r="AR8" s="230"/>
    </row>
    <row r="9" spans="2:44" s="1" customFormat="1" ht="75" customHeight="1" x14ac:dyDescent="0.25">
      <c r="B9" s="253" t="str">
        <f>+'Riesgos de Corrupción'!B9</f>
        <v>RC1</v>
      </c>
      <c r="C9" s="403" t="s">
        <v>545</v>
      </c>
      <c r="D9" s="255" t="s">
        <v>275</v>
      </c>
      <c r="E9" s="255" t="s">
        <v>312</v>
      </c>
      <c r="F9" s="254" t="s">
        <v>269</v>
      </c>
      <c r="G9" s="254" t="s">
        <v>271</v>
      </c>
      <c r="H9" s="254" t="s">
        <v>273</v>
      </c>
      <c r="I9" s="254" t="s">
        <v>277</v>
      </c>
      <c r="J9" s="254" t="s">
        <v>279</v>
      </c>
      <c r="K9" s="255" t="s">
        <v>281</v>
      </c>
      <c r="L9" s="254" t="s">
        <v>283</v>
      </c>
      <c r="M9" s="254">
        <f>+SUM(VLOOKUP(F9,'Lista C'!$B$1:$C$17,2,0))+SUM(VLOOKUP(G9,'Lista C'!$B$1:$C$17,2,0))+SUM(VLOOKUP(H9,'Lista C'!$B$1:$C$17,2,0))+SUM(VLOOKUP(H9,'Lista C'!$B$1:$C$17,2,0))+SUM(VLOOKUP(I9,'Lista C'!$B$1:$C$17,2,0))+SUM(VLOOKUP(J9,'Lista C'!$B$1:$C$17,2,0))+SUM(VLOOKUP(K9,'Lista C'!$B$1:$C$17,2,0))</f>
        <v>105</v>
      </c>
      <c r="N9" s="254" t="str">
        <f>IF(M9&lt;=85,"Débil",IF(M9&lt;=95,"Moderado",IF(M9&gt;=100,"Fuerte","")))</f>
        <v>Fuerte</v>
      </c>
      <c r="O9" s="254">
        <f>VLOOKUP(L9,'Lista C'!B1:$C$17,2,0)</f>
        <v>10</v>
      </c>
      <c r="P9" s="254" t="s">
        <v>304</v>
      </c>
      <c r="Q9" s="254" t="str">
        <f>VLOOKUP(P9,'Lista C'!$F$2:$G$5,2,0)</f>
        <v>Moderado</v>
      </c>
      <c r="R9" s="254" t="str">
        <f t="shared" ref="R9:R12" si="0">CONCATENATE(N9,Q9)</f>
        <v>FuerteModerado</v>
      </c>
      <c r="S9" s="254" t="str">
        <f>VLOOKUP(R9,'Lista C'!$E$21:F30,2,)</f>
        <v>Moderado</v>
      </c>
      <c r="T9" s="256" t="str">
        <f>+VLOOKUP(S9,'Lista C'!$F$21:$G$30,2,0)</f>
        <v>Si</v>
      </c>
      <c r="U9" s="257"/>
      <c r="V9" s="258"/>
      <c r="W9" s="258"/>
    </row>
    <row r="10" spans="2:44" ht="93" customHeight="1" x14ac:dyDescent="0.3">
      <c r="B10" s="259" t="str">
        <f>+'Riesgos de Corrupción'!B10</f>
        <v>RC2</v>
      </c>
      <c r="C10" s="404" t="s">
        <v>495</v>
      </c>
      <c r="D10" s="262" t="s">
        <v>275</v>
      </c>
      <c r="E10" s="261" t="s">
        <v>311</v>
      </c>
      <c r="F10" s="258" t="s">
        <v>269</v>
      </c>
      <c r="G10" s="258" t="s">
        <v>271</v>
      </c>
      <c r="H10" s="258" t="s">
        <v>273</v>
      </c>
      <c r="I10" s="258" t="s">
        <v>277</v>
      </c>
      <c r="J10" s="258" t="s">
        <v>279</v>
      </c>
      <c r="K10" s="262" t="s">
        <v>281</v>
      </c>
      <c r="L10" s="261" t="s">
        <v>283</v>
      </c>
      <c r="M10" s="261">
        <f>+SUM(VLOOKUP(F10,'Lista C'!$B$1:$C$17,2,0))+SUM(VLOOKUP(G10,'Lista C'!$B$1:$C$17,2,0))+SUM(VLOOKUP(H10,'Lista C'!$B$1:$C$17,2,0))+SUM(VLOOKUP(H10,'Lista C'!$B$1:$C$17,2,0))+SUM(VLOOKUP(I10,'Lista C'!$B$1:$C$17,2,0))+SUM(VLOOKUP(J10,'Lista C'!$B$1:$C$17,2,0))+SUM(VLOOKUP(K10,'Lista C'!$B$1:$C$17,2,0))</f>
        <v>105</v>
      </c>
      <c r="N10" s="261" t="str">
        <f t="shared" ref="N10:N12" si="1">IF(M10&lt;=85,"Débil",IF(M10&lt;=95,"Moderado",IF(M10&gt;=100,"Fuerte","")))</f>
        <v>Fuerte</v>
      </c>
      <c r="O10" s="261">
        <f>VLOOKUP(L10,'Lista C'!B3:$C$17,2,0)</f>
        <v>10</v>
      </c>
      <c r="P10" s="261" t="s">
        <v>303</v>
      </c>
      <c r="Q10" s="261" t="str">
        <f>VLOOKUP(P10,'Lista C'!$F$2:$G$5,2,0)</f>
        <v>Fuerte</v>
      </c>
      <c r="R10" s="261" t="str">
        <f t="shared" si="0"/>
        <v>FuerteFuerte</v>
      </c>
      <c r="S10" s="261" t="str">
        <f>VLOOKUP(R10,'Lista C'!$E$21:F31,2,)</f>
        <v>Fuerte</v>
      </c>
      <c r="T10" s="359" t="str">
        <f>+VLOOKUP(S10,'Lista C'!$F$21:$G$30,2,0)</f>
        <v>No</v>
      </c>
      <c r="U10" s="260"/>
      <c r="V10" s="108"/>
      <c r="W10" s="108"/>
    </row>
    <row r="11" spans="2:44" ht="108" customHeight="1" x14ac:dyDescent="0.3">
      <c r="B11" s="259" t="str">
        <f>+'Riesgos de Corrupción'!B11</f>
        <v>RC3</v>
      </c>
      <c r="C11" s="297" t="s">
        <v>496</v>
      </c>
      <c r="D11" s="262" t="s">
        <v>275</v>
      </c>
      <c r="E11" s="261"/>
      <c r="F11" s="258" t="s">
        <v>269</v>
      </c>
      <c r="G11" s="258" t="s">
        <v>271</v>
      </c>
      <c r="H11" s="258" t="s">
        <v>273</v>
      </c>
      <c r="I11" s="258" t="s">
        <v>277</v>
      </c>
      <c r="J11" s="258" t="s">
        <v>279</v>
      </c>
      <c r="K11" s="262" t="s">
        <v>281</v>
      </c>
      <c r="L11" s="261" t="s">
        <v>283</v>
      </c>
      <c r="M11" s="261">
        <f>+SUM(VLOOKUP(F11,'Lista C'!$B$1:$C$17,2,0))+SUM(VLOOKUP(G11,'Lista C'!$B$1:$C$17,2,0))+SUM(VLOOKUP(H11,'Lista C'!$B$1:$C$17,2,0))+SUM(VLOOKUP(H11,'Lista C'!$B$1:$C$17,2,0))+SUM(VLOOKUP(I11,'Lista C'!$B$1:$C$17,2,0))+SUM(VLOOKUP(J11,'Lista C'!$B$1:$C$17,2,0))+SUM(VLOOKUP(K11,'Lista C'!$B$1:$C$17,2,0))</f>
        <v>105</v>
      </c>
      <c r="N11" s="261" t="str">
        <f t="shared" si="1"/>
        <v>Fuerte</v>
      </c>
      <c r="O11" s="261">
        <f>VLOOKUP(L11,'Lista C'!B4:$C$17,2,0)</f>
        <v>10</v>
      </c>
      <c r="P11" s="261" t="s">
        <v>303</v>
      </c>
      <c r="Q11" s="261" t="str">
        <f>VLOOKUP(P11,'Lista C'!$F$2:$G$5,2,0)</f>
        <v>Fuerte</v>
      </c>
      <c r="R11" s="261" t="str">
        <f t="shared" si="0"/>
        <v>FuerteFuerte</v>
      </c>
      <c r="S11" s="261" t="str">
        <f>VLOOKUP(R11,'Lista C'!$E$21:F32,2,)</f>
        <v>Fuerte</v>
      </c>
      <c r="T11" s="359" t="str">
        <f>+VLOOKUP(S11,'Lista C'!$F$21:$G$30,2,0)</f>
        <v>No</v>
      </c>
      <c r="U11" s="260"/>
      <c r="V11" s="108"/>
      <c r="W11" s="108"/>
    </row>
    <row r="12" spans="2:44" ht="115.5" x14ac:dyDescent="0.3">
      <c r="B12" s="259" t="str">
        <f>+'Riesgos de Corrupción'!B12</f>
        <v>RC4</v>
      </c>
      <c r="C12" s="297" t="s">
        <v>520</v>
      </c>
      <c r="D12" s="262" t="s">
        <v>275</v>
      </c>
      <c r="E12" s="261"/>
      <c r="F12" s="258" t="s">
        <v>269</v>
      </c>
      <c r="G12" s="258" t="s">
        <v>271</v>
      </c>
      <c r="H12" s="258" t="s">
        <v>273</v>
      </c>
      <c r="I12" s="258" t="s">
        <v>277</v>
      </c>
      <c r="J12" s="258" t="s">
        <v>279</v>
      </c>
      <c r="K12" s="262" t="s">
        <v>281</v>
      </c>
      <c r="L12" s="261" t="s">
        <v>283</v>
      </c>
      <c r="M12" s="261">
        <f>+SUM(VLOOKUP(F12,'Lista C'!$B$1:$C$17,2,0))+SUM(VLOOKUP(G12,'Lista C'!$B$1:$C$17,2,0))+SUM(VLOOKUP(H12,'Lista C'!$B$1:$C$17,2,0))+SUM(VLOOKUP(H12,'Lista C'!$B$1:$C$17,2,0))+SUM(VLOOKUP(I12,'Lista C'!$B$1:$C$17,2,0))+SUM(VLOOKUP(J12,'Lista C'!$B$1:$C$17,2,0))+SUM(VLOOKUP(K12,'Lista C'!$B$1:$C$17,2,0))</f>
        <v>105</v>
      </c>
      <c r="N12" s="261" t="str">
        <f t="shared" si="1"/>
        <v>Fuerte</v>
      </c>
      <c r="O12" s="261">
        <f>VLOOKUP(L12,'Lista C'!B5:$C$17,2,0)</f>
        <v>10</v>
      </c>
      <c r="P12" s="261" t="s">
        <v>303</v>
      </c>
      <c r="Q12" s="261" t="str">
        <f>VLOOKUP(P12,'Lista C'!$F$2:$G$5,2,0)</f>
        <v>Fuerte</v>
      </c>
      <c r="R12" s="261" t="str">
        <f t="shared" si="0"/>
        <v>FuerteFuerte</v>
      </c>
      <c r="S12" s="261" t="str">
        <f>VLOOKUP(R12,'Lista C'!$E$21:F33,2,)</f>
        <v>Fuerte</v>
      </c>
      <c r="T12" s="359" t="str">
        <f>+VLOOKUP(S12,'Lista C'!$F$21:$G$30,2,0)</f>
        <v>No</v>
      </c>
      <c r="U12" s="260"/>
      <c r="V12" s="108"/>
      <c r="W12" s="108"/>
    </row>
  </sheetData>
  <dataConsolidate/>
  <mergeCells count="1">
    <mergeCell ref="D2:Q4"/>
  </mergeCells>
  <conditionalFormatting sqref="N9:N12 Q9:Q12 S9:S12">
    <cfRule type="cellIs" dxfId="11" priority="7" operator="equal">
      <formula>"Fuerte"</formula>
    </cfRule>
    <cfRule type="cellIs" dxfId="10" priority="8" operator="equal">
      <formula>"Moderado"</formula>
    </cfRule>
    <cfRule type="cellIs" dxfId="9" priority="9" operator="equal">
      <formula>"Débil"</formula>
    </cfRule>
  </conditionalFormatting>
  <pageMargins left="0.25" right="0.25" top="0.75" bottom="0.75" header="0.3" footer="0.3"/>
  <pageSetup paperSize="3" scale="48" fitToHeight="0" orientation="landscape"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promptTitle="El Control" prompt="Se ejecuta por parte del responsable">
          <x14:formula1>
            <xm:f>'Lista C'!$F$3:$F$5</xm:f>
          </x14:formula1>
          <xm:sqref>P9</xm:sqref>
        </x14:dataValidation>
        <x14:dataValidation type="list" allowBlank="1" showInputMessage="1" showErrorMessage="1">
          <x14:formula1>
            <xm:f>'Lista C'!$B$2:$B$3</xm:f>
          </x14:formula1>
          <xm:sqref>F9:F12</xm:sqref>
        </x14:dataValidation>
        <x14:dataValidation type="list" allowBlank="1" showInputMessage="1" showErrorMessage="1">
          <x14:formula1>
            <xm:f>'Lista C'!$B$4:$B$5</xm:f>
          </x14:formula1>
          <xm:sqref>G9:G12</xm:sqref>
        </x14:dataValidation>
        <x14:dataValidation type="list" allowBlank="1" showInputMessage="1" showErrorMessage="1">
          <x14:formula1>
            <xm:f>'Lista C'!$B$6:$B$7</xm:f>
          </x14:formula1>
          <xm:sqref>H9:H12</xm:sqref>
        </x14:dataValidation>
        <x14:dataValidation type="list" allowBlank="1" showInputMessage="1" showErrorMessage="1">
          <x14:formula1>
            <xm:f>'Lista C'!$B$8:$B$10</xm:f>
          </x14:formula1>
          <xm:sqref>I9:I12</xm:sqref>
        </x14:dataValidation>
        <x14:dataValidation type="list" allowBlank="1" showInputMessage="1" showErrorMessage="1">
          <x14:formula1>
            <xm:f>'Lista C'!$B$11:$B$12</xm:f>
          </x14:formula1>
          <xm:sqref>J9:J12</xm:sqref>
        </x14:dataValidation>
        <x14:dataValidation type="list" allowBlank="1" showInputMessage="1" showErrorMessage="1">
          <x14:formula1>
            <xm:f>'Lista C'!$B$13:$B$14</xm:f>
          </x14:formula1>
          <xm:sqref>K9:K12</xm:sqref>
        </x14:dataValidation>
        <x14:dataValidation type="list" allowBlank="1" showInputMessage="1" showErrorMessage="1">
          <x14:formula1>
            <xm:f>'Lista C'!$B$15:$B$17</xm:f>
          </x14:formula1>
          <xm:sqref>L9:L12</xm:sqref>
        </x14:dataValidation>
        <x14:dataValidation type="list" allowBlank="1" showInputMessage="1" showErrorMessage="1">
          <x14:formula1>
            <xm:f>'Lista C'!$F$3:$F$5</xm:f>
          </x14:formula1>
          <xm:sqref>P10:P12</xm:sqref>
        </x14:dataValidation>
        <x14:dataValidation type="list" allowBlank="1" showInputMessage="1" showErrorMessage="1">
          <x14:formula1>
            <xm:f>'Lista C'!$F$8:$F$10</xm:f>
          </x14:formula1>
          <xm:sqref>E9:E12</xm:sqref>
        </x14:dataValidation>
        <x14:dataValidation type="list" allowBlank="1" showInputMessage="1" showErrorMessage="1">
          <x14:formula1>
            <xm:f>'Lista C'!$G$8:$G$9</xm:f>
          </x14:formula1>
          <xm:sqref>D9:D12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17</vt:i4>
      </vt:variant>
    </vt:vector>
  </HeadingPairs>
  <TitlesOfParts>
    <vt:vector size="34" baseType="lpstr">
      <vt:lpstr>Matriz de Riesgos</vt:lpstr>
      <vt:lpstr>Valoración del Control</vt:lpstr>
      <vt:lpstr>Evaluación-Tratamiento</vt:lpstr>
      <vt:lpstr>Riesgo de los procesos</vt:lpstr>
      <vt:lpstr>KRI (2)</vt:lpstr>
      <vt:lpstr>KRI</vt:lpstr>
      <vt:lpstr>KRI-</vt:lpstr>
      <vt:lpstr>Riesgos de Corrupción</vt:lpstr>
      <vt:lpstr>Controles de Corrupción</vt:lpstr>
      <vt:lpstr>Control Residuales</vt:lpstr>
      <vt:lpstr>Seguimiento</vt:lpstr>
      <vt:lpstr>Atributos</vt:lpstr>
      <vt:lpstr>Matriz de Calor</vt:lpstr>
      <vt:lpstr>Tablas</vt:lpstr>
      <vt:lpstr>Afectación</vt:lpstr>
      <vt:lpstr>Listas</vt:lpstr>
      <vt:lpstr>Lista C</vt:lpstr>
      <vt:lpstr>'Control Residuales'!Área_de_impresión</vt:lpstr>
      <vt:lpstr>'Controles de Corrupción'!Área_de_impresión</vt:lpstr>
      <vt:lpstr>'Evaluación-Tratamiento'!Área_de_impresión</vt:lpstr>
      <vt:lpstr>KRI!Área_de_impresión</vt:lpstr>
      <vt:lpstr>'KRI (2)'!Área_de_impresión</vt:lpstr>
      <vt:lpstr>'Matriz de Riesgos'!Área_de_impresión</vt:lpstr>
      <vt:lpstr>'Riesgo de los procesos'!Área_de_impresión</vt:lpstr>
      <vt:lpstr>'Riesgos de Corrupción'!Área_de_impresión</vt:lpstr>
      <vt:lpstr>'Valoración del Control'!Área_de_impresión</vt:lpstr>
      <vt:lpstr>Daños_a_Activos_Fijos_Eventos_Externos</vt:lpstr>
      <vt:lpstr>Ejecución_y_Administración_de_los_Procesos</vt:lpstr>
      <vt:lpstr>Factores</vt:lpstr>
      <vt:lpstr>Fallas_Tecnologicas</vt:lpstr>
      <vt:lpstr>Fraude_Externo</vt:lpstr>
      <vt:lpstr>Fraude_Interno</vt:lpstr>
      <vt:lpstr>Relaciones_Laborales</vt:lpstr>
      <vt:lpstr>Usuarios_Productos_y_Practicas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Oficina Asesora de Planeación</dc:creator>
  <cp:lastModifiedBy>SISTEMAS</cp:lastModifiedBy>
  <cp:lastPrinted>2023-02-15T21:16:14Z</cp:lastPrinted>
  <dcterms:created xsi:type="dcterms:W3CDTF">2022-02-22T14:09:28Z</dcterms:created>
  <dcterms:modified xsi:type="dcterms:W3CDTF">2025-02-14T14:39:49Z</dcterms:modified>
</cp:coreProperties>
</file>